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Mi unidad\Taxday Biblioteca\Biblioteca Fiscal\2 Taxday Cierre fiscal ISR\Taxday cierre fiscal 2017\"/>
    </mc:Choice>
  </mc:AlternateContent>
  <bookViews>
    <workbookView xWindow="120" yWindow="60" windowWidth="12120" windowHeight="6690" tabRatio="695"/>
  </bookViews>
  <sheets>
    <sheet name="Anual" sheetId="44" r:id="rId1"/>
    <sheet name="Catalogo ctas" sheetId="45" r:id="rId2"/>
    <sheet name="ER" sheetId="19" r:id="rId3"/>
    <sheet name="RF y dividendos" sheetId="32" r:id="rId4"/>
    <sheet name="CCF ISR" sheetId="21" r:id="rId5"/>
    <sheet name="Otros puntos CCF" sheetId="22" r:id="rId6"/>
    <sheet name="Notas Cierre" sheetId="42" r:id="rId7"/>
    <sheet name="PP ISR" sheetId="33" r:id="rId8"/>
    <sheet name="Edo resultados" sheetId="8" r:id="rId9"/>
    <sheet name="Acum inventario" sheetId="17" r:id="rId10"/>
    <sheet name="Tabla Rot Inv" sheetId="23" r:id="rId11"/>
  </sheets>
  <externalReferences>
    <externalReference r:id="rId12"/>
  </externalReferences>
  <definedNames>
    <definedName name="_Toc104806991" localSheetId="4">'CCF ISR'!$A$3</definedName>
    <definedName name="_Toc104806992" localSheetId="4">'CCF ISR'!$A$28</definedName>
    <definedName name="_Toc104806993" localSheetId="4">'CCF ISR'!$A$46</definedName>
    <definedName name="_Toc104806994" localSheetId="4">'CCF ISR'!$A$73</definedName>
    <definedName name="_Toc104806995" localSheetId="4">'CCF ISR'!$A$98</definedName>
    <definedName name="_Toc110764356" localSheetId="4">'CCF ISR'!$A$2</definedName>
    <definedName name="Z_B9F59C03_5840_4AE2_90E4_F14679EEE1CB_.wvu.Rows" hidden="1">#REF!,#REF!,#REF!,#REF!,#REF!,#REF!,#REF!,#REF!,#REF!,#REF!,#REF!,#REF!,#REF!,#REF!,#REF!,#REF!,#REF!,#REF!,#REF!,#REF!,#REF!,#REF!,#REF!,#REF!,#REF!,#REF!,#REF!,#REF!,#REF!,#REF!,#REF!,#REF!,#REF!,#REF!,#REF!,#REF!,#REF!,#REF!,#REF!,#REF!,#REF!,#REF!,#REF!,#REF!,#REF!,#REF!,#REF!</definedName>
  </definedNames>
  <calcPr calcId="152511"/>
</workbook>
</file>

<file path=xl/calcChain.xml><?xml version="1.0" encoding="utf-8"?>
<calcChain xmlns="http://schemas.openxmlformats.org/spreadsheetml/2006/main">
  <c r="A111" i="44" l="1"/>
  <c r="A110" i="44"/>
  <c r="A109" i="44"/>
  <c r="A93" i="44"/>
  <c r="A95" i="44"/>
  <c r="A94" i="44"/>
  <c r="A83" i="44"/>
  <c r="A82" i="44"/>
  <c r="A79" i="44"/>
  <c r="A78" i="44"/>
  <c r="H117" i="44" l="1"/>
  <c r="B219" i="44" l="1"/>
  <c r="B50" i="21"/>
  <c r="C50" i="21"/>
  <c r="D50" i="21"/>
  <c r="E50" i="21"/>
  <c r="F50" i="21"/>
  <c r="G50" i="21"/>
  <c r="H50" i="21"/>
  <c r="I50" i="21"/>
  <c r="J50" i="21"/>
  <c r="K50" i="21"/>
  <c r="L50" i="21"/>
  <c r="M50" i="21"/>
  <c r="N50" i="21"/>
  <c r="B376" i="44" l="1"/>
  <c r="B391" i="44"/>
  <c r="B394" i="44"/>
  <c r="B414" i="44"/>
  <c r="C279" i="44"/>
  <c r="D279" i="44"/>
  <c r="E279" i="44"/>
  <c r="F279" i="44"/>
  <c r="G279" i="44"/>
  <c r="H279" i="44"/>
  <c r="I279" i="44"/>
  <c r="J279" i="44"/>
  <c r="K279" i="44"/>
  <c r="L279" i="44"/>
  <c r="M279" i="44"/>
  <c r="N279" i="44"/>
  <c r="C284" i="44"/>
  <c r="D284" i="44"/>
  <c r="E284" i="44"/>
  <c r="F284" i="44"/>
  <c r="G284" i="44"/>
  <c r="H284" i="44"/>
  <c r="I284" i="44"/>
  <c r="J284" i="44"/>
  <c r="K284" i="44"/>
  <c r="C288" i="44"/>
  <c r="D288" i="44"/>
  <c r="E288" i="44"/>
  <c r="F288" i="44"/>
  <c r="G288" i="44"/>
  <c r="H288" i="44"/>
  <c r="I288" i="44"/>
  <c r="J288" i="44"/>
  <c r="K288" i="44"/>
  <c r="L288" i="44"/>
  <c r="M288" i="44"/>
  <c r="N288" i="44"/>
  <c r="N289" i="44"/>
  <c r="C293" i="44"/>
  <c r="D293" i="44"/>
  <c r="E293" i="44"/>
  <c r="F293" i="44"/>
  <c r="G293" i="44"/>
  <c r="H293" i="44"/>
  <c r="I293" i="44"/>
  <c r="J293" i="44"/>
  <c r="K293" i="44"/>
  <c r="L293" i="44"/>
  <c r="M293" i="44"/>
  <c r="N293" i="44"/>
  <c r="C299" i="44"/>
  <c r="D299" i="44"/>
  <c r="E299" i="44"/>
  <c r="F299" i="44"/>
  <c r="G299" i="44"/>
  <c r="H299" i="44"/>
  <c r="I299" i="44"/>
  <c r="J299" i="44"/>
  <c r="K299" i="44"/>
  <c r="L299" i="44"/>
  <c r="M299" i="44"/>
  <c r="N299" i="44"/>
  <c r="B293" i="44"/>
  <c r="B284" i="44"/>
  <c r="B400" i="44" l="1"/>
  <c r="B415" i="44" s="1"/>
  <c r="B212" i="44"/>
  <c r="B222" i="44"/>
  <c r="L209" i="44"/>
  <c r="K209" i="44"/>
  <c r="J209" i="44"/>
  <c r="I209" i="44"/>
  <c r="H209" i="44"/>
  <c r="G209" i="44"/>
  <c r="F209" i="44"/>
  <c r="E209" i="44"/>
  <c r="D209" i="44"/>
  <c r="C209" i="44"/>
  <c r="B209" i="44"/>
  <c r="B174" i="44"/>
  <c r="B180" i="44"/>
  <c r="B192" i="44"/>
  <c r="B177" i="44"/>
  <c r="H140" i="44"/>
  <c r="G140" i="44"/>
  <c r="F140" i="44"/>
  <c r="E140" i="44"/>
  <c r="D140" i="44"/>
  <c r="C140" i="44"/>
  <c r="B140" i="44"/>
  <c r="C154" i="44"/>
  <c r="D154" i="44"/>
  <c r="E154" i="44"/>
  <c r="F154" i="44"/>
  <c r="G154" i="44"/>
  <c r="H154" i="44"/>
  <c r="H145" i="44"/>
  <c r="G145" i="44"/>
  <c r="F145" i="44"/>
  <c r="E145" i="44"/>
  <c r="D145" i="44"/>
  <c r="C145" i="44"/>
  <c r="B160" i="44"/>
  <c r="B145" i="44"/>
  <c r="B154" i="44"/>
  <c r="C130" i="44"/>
  <c r="D130" i="44"/>
  <c r="E130" i="44"/>
  <c r="F130" i="44"/>
  <c r="G130" i="44"/>
  <c r="H130" i="44"/>
  <c r="B130" i="44"/>
  <c r="G124" i="44" l="1"/>
  <c r="H124" i="44"/>
  <c r="C124" i="44"/>
  <c r="D124" i="44"/>
  <c r="E124" i="44"/>
  <c r="F124" i="44"/>
  <c r="B124" i="44"/>
  <c r="B27" i="44"/>
  <c r="B26" i="44"/>
  <c r="B20" i="44" l="1"/>
  <c r="B4" i="44"/>
  <c r="B18" i="44"/>
  <c r="B23" i="44" s="1"/>
  <c r="B36" i="44" s="1"/>
  <c r="B47" i="44" s="1"/>
  <c r="B121" i="44" s="1"/>
  <c r="B276" i="44" s="1"/>
  <c r="B330" i="44" s="1"/>
  <c r="B358" i="44" s="1"/>
  <c r="B417" i="44" s="1"/>
  <c r="B435" i="44" s="1"/>
  <c r="B500" i="44" s="1"/>
  <c r="B533" i="44" s="1"/>
  <c r="E18" i="44"/>
  <c r="E23" i="44" s="1"/>
  <c r="E36" i="44" s="1"/>
  <c r="E47" i="44" s="1"/>
  <c r="E121" i="44" s="1"/>
  <c r="E276" i="44" s="1"/>
  <c r="E330" i="44" s="1"/>
  <c r="E358" i="44" s="1"/>
  <c r="E417" i="44" s="1"/>
  <c r="E435" i="44" s="1"/>
  <c r="E500" i="44" s="1"/>
  <c r="E533" i="44" s="1"/>
  <c r="C23" i="44"/>
  <c r="D23" i="44"/>
  <c r="D36" i="44" s="1"/>
  <c r="D47" i="44" s="1"/>
  <c r="F23" i="44"/>
  <c r="F36" i="44" s="1"/>
  <c r="F47" i="44" s="1"/>
  <c r="F121" i="44" s="1"/>
  <c r="F276" i="44" s="1"/>
  <c r="F330" i="44" s="1"/>
  <c r="F358" i="44" s="1"/>
  <c r="F417" i="44" s="1"/>
  <c r="F435" i="44" s="1"/>
  <c r="F500" i="44" s="1"/>
  <c r="F533" i="44" s="1"/>
  <c r="G23" i="44"/>
  <c r="G36" i="44" s="1"/>
  <c r="G47" i="44" s="1"/>
  <c r="G121" i="44" s="1"/>
  <c r="G276" i="44" s="1"/>
  <c r="G330" i="44" s="1"/>
  <c r="G358" i="44" s="1"/>
  <c r="G417" i="44" s="1"/>
  <c r="G435" i="44" s="1"/>
  <c r="G500" i="44" s="1"/>
  <c r="G533" i="44" s="1"/>
  <c r="H23" i="44"/>
  <c r="H36" i="44" s="1"/>
  <c r="H47" i="44" s="1"/>
  <c r="I23" i="44"/>
  <c r="J23" i="44"/>
  <c r="J36" i="44" s="1"/>
  <c r="J47" i="44" s="1"/>
  <c r="J121" i="44" s="1"/>
  <c r="J276" i="44" s="1"/>
  <c r="J330" i="44" s="1"/>
  <c r="J358" i="44" s="1"/>
  <c r="J417" i="44" s="1"/>
  <c r="J435" i="44" s="1"/>
  <c r="J500" i="44" s="1"/>
  <c r="J533" i="44" s="1"/>
  <c r="K23" i="44"/>
  <c r="K36" i="44" s="1"/>
  <c r="K47" i="44" s="1"/>
  <c r="K121" i="44" s="1"/>
  <c r="K276" i="44" s="1"/>
  <c r="K330" i="44" s="1"/>
  <c r="K358" i="44" s="1"/>
  <c r="K417" i="44" s="1"/>
  <c r="K435" i="44" s="1"/>
  <c r="K500" i="44" s="1"/>
  <c r="K533" i="44" s="1"/>
  <c r="L23" i="44"/>
  <c r="L36" i="44" s="1"/>
  <c r="L47" i="44" s="1"/>
  <c r="M23" i="44"/>
  <c r="N23" i="44"/>
  <c r="N36" i="44" s="1"/>
  <c r="N47" i="44" s="1"/>
  <c r="N121" i="44" s="1"/>
  <c r="N276" i="44" s="1"/>
  <c r="N330" i="44" s="1"/>
  <c r="N358" i="44" s="1"/>
  <c r="C36" i="44"/>
  <c r="C47" i="44" s="1"/>
  <c r="C121" i="44" s="1"/>
  <c r="C276" i="44" s="1"/>
  <c r="C330" i="44" s="1"/>
  <c r="C358" i="44" s="1"/>
  <c r="C417" i="44" s="1"/>
  <c r="C435" i="44" s="1"/>
  <c r="C500" i="44" s="1"/>
  <c r="C533" i="44" s="1"/>
  <c r="I36" i="44"/>
  <c r="I47" i="44" s="1"/>
  <c r="I121" i="44" s="1"/>
  <c r="M36" i="44"/>
  <c r="M47" i="44" s="1"/>
  <c r="M121" i="44" s="1"/>
  <c r="A54" i="44"/>
  <c r="A55" i="44"/>
  <c r="A58" i="44"/>
  <c r="A59" i="44"/>
  <c r="A61" i="44"/>
  <c r="A62" i="44"/>
  <c r="A63" i="44"/>
  <c r="A66" i="44"/>
  <c r="A67" i="44"/>
  <c r="A70" i="44"/>
  <c r="A71" i="44"/>
  <c r="A73" i="44"/>
  <c r="A74" i="44"/>
  <c r="A75" i="44"/>
  <c r="A85" i="44"/>
  <c r="A86" i="44"/>
  <c r="A87" i="44"/>
  <c r="A90" i="44"/>
  <c r="A91" i="44"/>
  <c r="A97" i="44"/>
  <c r="A98" i="44"/>
  <c r="A99" i="44"/>
  <c r="A101" i="44"/>
  <c r="A102" i="44"/>
  <c r="A103" i="44"/>
  <c r="A105" i="44"/>
  <c r="A106" i="44"/>
  <c r="A107" i="44"/>
  <c r="A114" i="44"/>
  <c r="A115" i="44"/>
  <c r="B117" i="44"/>
  <c r="C117" i="44"/>
  <c r="D117" i="44"/>
  <c r="E117" i="44"/>
  <c r="F117" i="44"/>
  <c r="G117" i="44"/>
  <c r="I117" i="44"/>
  <c r="J117" i="44"/>
  <c r="K117" i="44"/>
  <c r="L117" i="44"/>
  <c r="M117" i="44"/>
  <c r="N117" i="44"/>
  <c r="D121" i="44"/>
  <c r="H121" i="44"/>
  <c r="H276" i="44" s="1"/>
  <c r="H330" i="44" s="1"/>
  <c r="H358" i="44" s="1"/>
  <c r="H417" i="44" s="1"/>
  <c r="H435" i="44" s="1"/>
  <c r="H500" i="44" s="1"/>
  <c r="H533" i="44" s="1"/>
  <c r="L121" i="44"/>
  <c r="L276" i="44" s="1"/>
  <c r="L330" i="44" s="1"/>
  <c r="L358" i="44" s="1"/>
  <c r="B125" i="44"/>
  <c r="C125" i="44"/>
  <c r="D125" i="44"/>
  <c r="E125" i="44"/>
  <c r="F125" i="44"/>
  <c r="G125" i="44"/>
  <c r="H125" i="44"/>
  <c r="I125" i="44"/>
  <c r="J125" i="44"/>
  <c r="K125" i="44"/>
  <c r="L125" i="44"/>
  <c r="M125" i="44"/>
  <c r="N125" i="44"/>
  <c r="B128" i="44"/>
  <c r="C128" i="44"/>
  <c r="D128" i="44"/>
  <c r="E128" i="44"/>
  <c r="F128" i="44"/>
  <c r="G128" i="44"/>
  <c r="H128" i="44"/>
  <c r="I128" i="44"/>
  <c r="J128" i="44"/>
  <c r="K128" i="44"/>
  <c r="L128" i="44"/>
  <c r="M128" i="44"/>
  <c r="N128" i="44"/>
  <c r="B131" i="44"/>
  <c r="C131" i="44"/>
  <c r="D131" i="44"/>
  <c r="E131" i="44"/>
  <c r="F131" i="44"/>
  <c r="G131" i="44"/>
  <c r="H131" i="44"/>
  <c r="I131" i="44"/>
  <c r="J131" i="44"/>
  <c r="K131" i="44"/>
  <c r="L131" i="44"/>
  <c r="M131" i="44"/>
  <c r="N131" i="44"/>
  <c r="B134" i="44"/>
  <c r="C134" i="44"/>
  <c r="D134" i="44"/>
  <c r="E134" i="44"/>
  <c r="F134" i="44"/>
  <c r="G134" i="44"/>
  <c r="H134" i="44"/>
  <c r="I134" i="44"/>
  <c r="J134" i="44"/>
  <c r="K134" i="44"/>
  <c r="L134" i="44"/>
  <c r="M134" i="44"/>
  <c r="N134" i="44"/>
  <c r="B135" i="44"/>
  <c r="C135" i="44"/>
  <c r="D135" i="44"/>
  <c r="E135" i="44"/>
  <c r="F135" i="44"/>
  <c r="G135" i="44"/>
  <c r="H135" i="44"/>
  <c r="I135" i="44"/>
  <c r="J135" i="44"/>
  <c r="K135" i="44"/>
  <c r="L135" i="44"/>
  <c r="M135" i="44"/>
  <c r="N135" i="44"/>
  <c r="C136" i="44"/>
  <c r="D136" i="44"/>
  <c r="D137" i="44" s="1"/>
  <c r="E136" i="44"/>
  <c r="E137" i="44" s="1"/>
  <c r="F136" i="44"/>
  <c r="F137" i="44" s="1"/>
  <c r="G136" i="44"/>
  <c r="H136" i="44"/>
  <c r="H137" i="44" s="1"/>
  <c r="I136" i="44"/>
  <c r="J136" i="44"/>
  <c r="J137" i="44" s="1"/>
  <c r="K136" i="44"/>
  <c r="L136" i="44"/>
  <c r="L137" i="44" s="1"/>
  <c r="M136" i="44"/>
  <c r="N136" i="44"/>
  <c r="N137" i="44" s="1"/>
  <c r="B141" i="44"/>
  <c r="C141" i="44"/>
  <c r="D141" i="44"/>
  <c r="E141" i="44"/>
  <c r="F141" i="44"/>
  <c r="G141" i="44"/>
  <c r="H141" i="44"/>
  <c r="I141" i="44"/>
  <c r="J141" i="44"/>
  <c r="K141" i="44"/>
  <c r="L141" i="44"/>
  <c r="M141" i="44"/>
  <c r="N141" i="44"/>
  <c r="B144" i="44"/>
  <c r="C144" i="44"/>
  <c r="D144" i="44"/>
  <c r="E144" i="44"/>
  <c r="F144" i="44"/>
  <c r="G144" i="44"/>
  <c r="H144" i="44"/>
  <c r="I144" i="44"/>
  <c r="J144" i="44"/>
  <c r="K144" i="44"/>
  <c r="L144" i="44"/>
  <c r="M144" i="44"/>
  <c r="M146" i="44" s="1"/>
  <c r="N144" i="44"/>
  <c r="B149" i="44"/>
  <c r="C149" i="44"/>
  <c r="D149" i="44"/>
  <c r="E149" i="44"/>
  <c r="F149" i="44"/>
  <c r="G149" i="44"/>
  <c r="H149" i="44"/>
  <c r="I149" i="44"/>
  <c r="J149" i="44"/>
  <c r="K149" i="44"/>
  <c r="L149" i="44"/>
  <c r="M149" i="44"/>
  <c r="N149" i="44"/>
  <c r="B152" i="44"/>
  <c r="C152" i="44"/>
  <c r="D152" i="44"/>
  <c r="E152" i="44"/>
  <c r="F152" i="44"/>
  <c r="G152" i="44"/>
  <c r="H152" i="44"/>
  <c r="I152" i="44"/>
  <c r="J152" i="44"/>
  <c r="K152" i="44"/>
  <c r="L152" i="44"/>
  <c r="M152" i="44"/>
  <c r="N152" i="44"/>
  <c r="B155" i="44"/>
  <c r="C155" i="44"/>
  <c r="D155" i="44"/>
  <c r="E155" i="44"/>
  <c r="F155" i="44"/>
  <c r="G155" i="44"/>
  <c r="H155" i="44"/>
  <c r="I155" i="44"/>
  <c r="J155" i="44"/>
  <c r="K155" i="44"/>
  <c r="L155" i="44"/>
  <c r="M155" i="44"/>
  <c r="N155" i="44"/>
  <c r="B161" i="44"/>
  <c r="C161" i="44"/>
  <c r="D161" i="44"/>
  <c r="E161" i="44"/>
  <c r="F161" i="44"/>
  <c r="G161" i="44"/>
  <c r="H161" i="44"/>
  <c r="I161" i="44"/>
  <c r="J161" i="44"/>
  <c r="K161" i="44"/>
  <c r="L161" i="44"/>
  <c r="M161" i="44"/>
  <c r="N161" i="44"/>
  <c r="B166" i="44"/>
  <c r="C166" i="44"/>
  <c r="D166" i="44"/>
  <c r="E166" i="44"/>
  <c r="F166" i="44"/>
  <c r="G166" i="44"/>
  <c r="H166" i="44"/>
  <c r="I166" i="44"/>
  <c r="J166" i="44"/>
  <c r="K166" i="44"/>
  <c r="L166" i="44"/>
  <c r="M166" i="44"/>
  <c r="N166" i="44"/>
  <c r="B169" i="44"/>
  <c r="C169" i="44"/>
  <c r="D169" i="44"/>
  <c r="E169" i="44"/>
  <c r="F169" i="44"/>
  <c r="G169" i="44"/>
  <c r="H169" i="44"/>
  <c r="I169" i="44"/>
  <c r="J169" i="44"/>
  <c r="K169" i="44"/>
  <c r="L169" i="44"/>
  <c r="M169" i="44"/>
  <c r="N169" i="44"/>
  <c r="B172" i="44"/>
  <c r="C172" i="44"/>
  <c r="D172" i="44"/>
  <c r="E172" i="44"/>
  <c r="F172" i="44"/>
  <c r="G172" i="44"/>
  <c r="H172" i="44"/>
  <c r="I172" i="44"/>
  <c r="J172" i="44"/>
  <c r="K172" i="44"/>
  <c r="L172" i="44"/>
  <c r="M172" i="44"/>
  <c r="N172" i="44"/>
  <c r="B175" i="44"/>
  <c r="C175" i="44"/>
  <c r="D175" i="44"/>
  <c r="E175" i="44"/>
  <c r="F175" i="44"/>
  <c r="G175" i="44"/>
  <c r="H175" i="44"/>
  <c r="I175" i="44"/>
  <c r="J175" i="44"/>
  <c r="K175" i="44"/>
  <c r="L175" i="44"/>
  <c r="M175" i="44"/>
  <c r="N175" i="44"/>
  <c r="B178" i="44"/>
  <c r="C178" i="44"/>
  <c r="D178" i="44"/>
  <c r="E178" i="44"/>
  <c r="F178" i="44"/>
  <c r="G178" i="44"/>
  <c r="H178" i="44"/>
  <c r="I178" i="44"/>
  <c r="J178" i="44"/>
  <c r="K178" i="44"/>
  <c r="L178" i="44"/>
  <c r="M178" i="44"/>
  <c r="N178" i="44"/>
  <c r="B181" i="44"/>
  <c r="C181" i="44"/>
  <c r="D181" i="44"/>
  <c r="E181" i="44"/>
  <c r="F181" i="44"/>
  <c r="G181" i="44"/>
  <c r="H181" i="44"/>
  <c r="I181" i="44"/>
  <c r="J181" i="44"/>
  <c r="K181" i="44"/>
  <c r="L181" i="44"/>
  <c r="M181" i="44"/>
  <c r="N181" i="44"/>
  <c r="B184" i="44"/>
  <c r="E184" i="44"/>
  <c r="B187" i="44"/>
  <c r="E187" i="44"/>
  <c r="B190" i="44"/>
  <c r="E190" i="44"/>
  <c r="B193" i="44"/>
  <c r="C193" i="44"/>
  <c r="D193" i="44"/>
  <c r="E193" i="44"/>
  <c r="F193" i="44"/>
  <c r="G193" i="44"/>
  <c r="H193" i="44"/>
  <c r="I193" i="44"/>
  <c r="J193" i="44"/>
  <c r="K193" i="44"/>
  <c r="L193" i="44"/>
  <c r="M193" i="44"/>
  <c r="N193" i="44"/>
  <c r="B196" i="44"/>
  <c r="C196" i="44"/>
  <c r="D196" i="44"/>
  <c r="E196" i="44"/>
  <c r="F196" i="44"/>
  <c r="G196" i="44"/>
  <c r="H196" i="44"/>
  <c r="I196" i="44"/>
  <c r="J196" i="44"/>
  <c r="K196" i="44"/>
  <c r="L196" i="44"/>
  <c r="M196" i="44"/>
  <c r="N196" i="44"/>
  <c r="B199" i="44"/>
  <c r="B280" i="44" s="1"/>
  <c r="C199" i="44"/>
  <c r="D199" i="44"/>
  <c r="E199" i="44"/>
  <c r="F199" i="44"/>
  <c r="G199" i="44"/>
  <c r="H199" i="44"/>
  <c r="I199" i="44"/>
  <c r="J199" i="44"/>
  <c r="K199" i="44"/>
  <c r="L199" i="44"/>
  <c r="M199" i="44"/>
  <c r="N199" i="44"/>
  <c r="B203" i="44"/>
  <c r="C203" i="44"/>
  <c r="D203" i="44"/>
  <c r="E203" i="44"/>
  <c r="F203" i="44"/>
  <c r="G203" i="44"/>
  <c r="H203" i="44"/>
  <c r="I203" i="44"/>
  <c r="J203" i="44"/>
  <c r="K203" i="44"/>
  <c r="L203" i="44"/>
  <c r="M203" i="44"/>
  <c r="N203" i="44"/>
  <c r="B206" i="44"/>
  <c r="C206" i="44"/>
  <c r="D206" i="44"/>
  <c r="E206" i="44"/>
  <c r="F206" i="44"/>
  <c r="G206" i="44"/>
  <c r="G207" i="44" s="1"/>
  <c r="H206" i="44"/>
  <c r="I206" i="44"/>
  <c r="J206" i="44"/>
  <c r="K206" i="44"/>
  <c r="L206" i="44"/>
  <c r="M206" i="44"/>
  <c r="N206" i="44"/>
  <c r="C207" i="44"/>
  <c r="K207" i="44"/>
  <c r="B211" i="44"/>
  <c r="C211" i="44"/>
  <c r="D211" i="44"/>
  <c r="E211" i="44"/>
  <c r="F211" i="44"/>
  <c r="G211" i="44"/>
  <c r="H211" i="44"/>
  <c r="I211" i="44"/>
  <c r="J211" i="44"/>
  <c r="K211" i="44"/>
  <c r="L211" i="44"/>
  <c r="M211" i="44"/>
  <c r="N211" i="44"/>
  <c r="B214" i="44"/>
  <c r="C214" i="44"/>
  <c r="D214" i="44"/>
  <c r="E214" i="44"/>
  <c r="F214" i="44"/>
  <c r="G214" i="44"/>
  <c r="H214" i="44"/>
  <c r="I214" i="44"/>
  <c r="J214" i="44"/>
  <c r="K214" i="44"/>
  <c r="L214" i="44"/>
  <c r="M214" i="44"/>
  <c r="N214" i="44"/>
  <c r="D276" i="44"/>
  <c r="D330" i="44" s="1"/>
  <c r="D358" i="44" s="1"/>
  <c r="D417" i="44" s="1"/>
  <c r="D435" i="44" s="1"/>
  <c r="D500" i="44" s="1"/>
  <c r="D533" i="44" s="1"/>
  <c r="I276" i="44"/>
  <c r="I330" i="44" s="1"/>
  <c r="I358" i="44" s="1"/>
  <c r="I417" i="44" s="1"/>
  <c r="I435" i="44" s="1"/>
  <c r="I500" i="44" s="1"/>
  <c r="I533" i="44" s="1"/>
  <c r="M276" i="44"/>
  <c r="M330" i="44" s="1"/>
  <c r="M358" i="44" s="1"/>
  <c r="B279" i="44"/>
  <c r="B288" i="44"/>
  <c r="U305" i="44"/>
  <c r="X305" i="44"/>
  <c r="Y306" i="44" s="1"/>
  <c r="T332" i="44"/>
  <c r="T333" i="44" s="1"/>
  <c r="T334" i="44" s="1"/>
  <c r="B341" i="44"/>
  <c r="B366" i="44"/>
  <c r="D366" i="44"/>
  <c r="E366" i="44"/>
  <c r="B369" i="44"/>
  <c r="E369" i="44"/>
  <c r="E372" i="44"/>
  <c r="C376" i="44"/>
  <c r="D376" i="44"/>
  <c r="E376" i="44"/>
  <c r="F376" i="44"/>
  <c r="F388" i="44" s="1"/>
  <c r="G376" i="44"/>
  <c r="G388" i="44" s="1"/>
  <c r="H376" i="44"/>
  <c r="H388" i="44" s="1"/>
  <c r="I376" i="44"/>
  <c r="I388" i="44" s="1"/>
  <c r="J376" i="44"/>
  <c r="J388" i="44" s="1"/>
  <c r="K376" i="44"/>
  <c r="K388" i="44" s="1"/>
  <c r="L376" i="44"/>
  <c r="L388" i="44" s="1"/>
  <c r="M376" i="44"/>
  <c r="M388" i="44" s="1"/>
  <c r="N376" i="44"/>
  <c r="N388" i="44" s="1"/>
  <c r="C388" i="44"/>
  <c r="C391" i="44"/>
  <c r="D391" i="44"/>
  <c r="E391" i="44"/>
  <c r="F391" i="44"/>
  <c r="G391" i="44"/>
  <c r="H391" i="44"/>
  <c r="I391" i="44"/>
  <c r="J391" i="44"/>
  <c r="K391" i="44"/>
  <c r="L391" i="44"/>
  <c r="M391" i="44"/>
  <c r="N391" i="44"/>
  <c r="C394" i="44"/>
  <c r="C400" i="44" s="1"/>
  <c r="D394" i="44"/>
  <c r="E394" i="44"/>
  <c r="E400" i="44" s="1"/>
  <c r="F394" i="44"/>
  <c r="G394" i="44"/>
  <c r="G400" i="44" s="1"/>
  <c r="H394" i="44"/>
  <c r="I394" i="44"/>
  <c r="I400" i="44" s="1"/>
  <c r="J394" i="44"/>
  <c r="K394" i="44"/>
  <c r="K400" i="44" s="1"/>
  <c r="L394" i="44"/>
  <c r="M394" i="44"/>
  <c r="M400" i="44" s="1"/>
  <c r="N394" i="44"/>
  <c r="E406" i="44"/>
  <c r="E414" i="44" s="1"/>
  <c r="C414" i="44"/>
  <c r="D414" i="44"/>
  <c r="F414" i="44"/>
  <c r="G414" i="44"/>
  <c r="H414" i="44"/>
  <c r="I414" i="44"/>
  <c r="J414" i="44"/>
  <c r="K414" i="44"/>
  <c r="L414" i="44"/>
  <c r="M414" i="44"/>
  <c r="N414" i="44"/>
  <c r="L435" i="44"/>
  <c r="L500" i="44" s="1"/>
  <c r="L533" i="44" s="1"/>
  <c r="M435" i="44"/>
  <c r="M500" i="44" s="1"/>
  <c r="M533" i="44" s="1"/>
  <c r="N435" i="44"/>
  <c r="N500" i="44" s="1"/>
  <c r="N533" i="44" s="1"/>
  <c r="A437" i="44"/>
  <c r="A438" i="44"/>
  <c r="A440" i="44"/>
  <c r="A441" i="44"/>
  <c r="A442" i="44"/>
  <c r="A443" i="44"/>
  <c r="A444" i="44"/>
  <c r="A445" i="44"/>
  <c r="A446" i="44"/>
  <c r="A447" i="44"/>
  <c r="A452" i="44"/>
  <c r="A453" i="44"/>
  <c r="B457" i="44"/>
  <c r="C457" i="44"/>
  <c r="D457" i="44"/>
  <c r="E457" i="44"/>
  <c r="F457" i="44"/>
  <c r="G457" i="44"/>
  <c r="H457" i="44"/>
  <c r="I457" i="44"/>
  <c r="J457" i="44"/>
  <c r="K457" i="44"/>
  <c r="L457" i="44"/>
  <c r="M457" i="44"/>
  <c r="N457" i="44"/>
  <c r="A460" i="44"/>
  <c r="A461" i="44"/>
  <c r="A462" i="44"/>
  <c r="A464" i="44"/>
  <c r="A468" i="44"/>
  <c r="A471" i="44"/>
  <c r="A473" i="44"/>
  <c r="A476" i="44"/>
  <c r="A477" i="44"/>
  <c r="A502" i="44"/>
  <c r="A503" i="44"/>
  <c r="A504" i="44"/>
  <c r="A505" i="44"/>
  <c r="A506" i="44"/>
  <c r="A507" i="44"/>
  <c r="A508" i="44"/>
  <c r="A509" i="44"/>
  <c r="A510" i="44"/>
  <c r="A511" i="44"/>
  <c r="M137" i="44" l="1"/>
  <c r="I137" i="44"/>
  <c r="N146" i="44"/>
  <c r="I146" i="44"/>
  <c r="I156" i="44" s="1"/>
  <c r="I291" i="44" s="1"/>
  <c r="I306" i="44" s="1"/>
  <c r="J146" i="44"/>
  <c r="K146" i="44"/>
  <c r="L146" i="44"/>
  <c r="F207" i="44"/>
  <c r="F208" i="44" s="1"/>
  <c r="B207" i="44"/>
  <c r="B208" i="44" s="1"/>
  <c r="N400" i="44"/>
  <c r="N415" i="44" s="1"/>
  <c r="F400" i="44"/>
  <c r="F415" i="44" s="1"/>
  <c r="J400" i="44"/>
  <c r="J415" i="44" s="1"/>
  <c r="M207" i="44"/>
  <c r="M208" i="44" s="1"/>
  <c r="I207" i="44"/>
  <c r="E207" i="44"/>
  <c r="E208" i="44" s="1"/>
  <c r="L156" i="44"/>
  <c r="L291" i="44" s="1"/>
  <c r="L306" i="44" s="1"/>
  <c r="E388" i="44"/>
  <c r="N280" i="44"/>
  <c r="J280" i="44"/>
  <c r="F280" i="44"/>
  <c r="L400" i="44"/>
  <c r="L415" i="44" s="1"/>
  <c r="H400" i="44"/>
  <c r="H415" i="44" s="1"/>
  <c r="D400" i="44"/>
  <c r="D415" i="44" s="1"/>
  <c r="N156" i="44"/>
  <c r="N291" i="44" s="1"/>
  <c r="N306" i="44" s="1"/>
  <c r="J156" i="44"/>
  <c r="J158" i="44" s="1"/>
  <c r="K415" i="44"/>
  <c r="G415" i="44"/>
  <c r="C415" i="44"/>
  <c r="B388" i="44"/>
  <c r="N207" i="44"/>
  <c r="N208" i="44" s="1"/>
  <c r="J207" i="44"/>
  <c r="J208" i="44" s="1"/>
  <c r="M280" i="44"/>
  <c r="I280" i="44"/>
  <c r="E280" i="44"/>
  <c r="K137" i="44"/>
  <c r="B136" i="44"/>
  <c r="B137" i="44" s="1"/>
  <c r="D388" i="44"/>
  <c r="L280" i="44"/>
  <c r="H280" i="44"/>
  <c r="D280" i="44"/>
  <c r="M415" i="44"/>
  <c r="I415" i="44"/>
  <c r="E415" i="44"/>
  <c r="L207" i="44"/>
  <c r="L208" i="44" s="1"/>
  <c r="H207" i="44"/>
  <c r="H208" i="44" s="1"/>
  <c r="D207" i="44"/>
  <c r="D208" i="44" s="1"/>
  <c r="K280" i="44"/>
  <c r="G280" i="44"/>
  <c r="C280" i="44"/>
  <c r="C137" i="44"/>
  <c r="G137" i="44"/>
  <c r="L157" i="44"/>
  <c r="K208" i="44"/>
  <c r="I208" i="44"/>
  <c r="G208" i="44"/>
  <c r="C208" i="44"/>
  <c r="M156" i="44"/>
  <c r="M291" i="44" s="1"/>
  <c r="M306" i="44" s="1"/>
  <c r="K156" i="44"/>
  <c r="E32" i="8"/>
  <c r="E31" i="8"/>
  <c r="F28" i="8"/>
  <c r="F27" i="8"/>
  <c r="E23" i="8"/>
  <c r="E18" i="8"/>
  <c r="E20" i="8"/>
  <c r="E19" i="8"/>
  <c r="E17" i="8"/>
  <c r="E10" i="8"/>
  <c r="F11" i="8" s="1"/>
  <c r="E11" i="8"/>
  <c r="E9" i="8"/>
  <c r="F7" i="8"/>
  <c r="A1" i="8"/>
  <c r="A1" i="33"/>
  <c r="D416" i="44" l="1"/>
  <c r="J157" i="44"/>
  <c r="J162" i="44" s="1"/>
  <c r="L158" i="44"/>
  <c r="E416" i="44"/>
  <c r="N157" i="44"/>
  <c r="N162" i="44" s="1"/>
  <c r="N158" i="44"/>
  <c r="J291" i="44"/>
  <c r="J306" i="44" s="1"/>
  <c r="M157" i="44"/>
  <c r="M162" i="44" s="1"/>
  <c r="F12" i="8"/>
  <c r="K158" i="44"/>
  <c r="K291" i="44"/>
  <c r="K306" i="44" s="1"/>
  <c r="J163" i="44"/>
  <c r="J218" i="44" s="1"/>
  <c r="I157" i="44"/>
  <c r="L163" i="44"/>
  <c r="L162" i="44"/>
  <c r="M158" i="44"/>
  <c r="M163" i="44" s="1"/>
  <c r="I158" i="44"/>
  <c r="K157" i="44"/>
  <c r="N163" i="44" l="1"/>
  <c r="M217" i="44"/>
  <c r="L217" i="44"/>
  <c r="J217" i="44"/>
  <c r="B306" i="44"/>
  <c r="K162" i="44"/>
  <c r="K163" i="44"/>
  <c r="M218" i="44"/>
  <c r="L218" i="44"/>
  <c r="I162" i="44"/>
  <c r="I163" i="44"/>
  <c r="O103" i="22"/>
  <c r="N103" i="22"/>
  <c r="M103" i="22"/>
  <c r="L103" i="22"/>
  <c r="K103" i="22"/>
  <c r="J103" i="22"/>
  <c r="I103" i="22"/>
  <c r="H103" i="22"/>
  <c r="G103" i="22"/>
  <c r="F103" i="22"/>
  <c r="E103" i="22"/>
  <c r="D103" i="22"/>
  <c r="C103" i="22"/>
  <c r="B103" i="22"/>
  <c r="N217" i="44" l="1"/>
  <c r="N218" i="44"/>
  <c r="K217" i="44"/>
  <c r="L229" i="44"/>
  <c r="L278" i="44" s="1"/>
  <c r="L281" i="44" s="1"/>
  <c r="L230" i="44"/>
  <c r="M229" i="44"/>
  <c r="M230" i="44"/>
  <c r="I217" i="44"/>
  <c r="J230" i="44"/>
  <c r="J229" i="44"/>
  <c r="I218" i="44"/>
  <c r="K218" i="44"/>
  <c r="G104" i="22"/>
  <c r="F104" i="22"/>
  <c r="E104" i="22"/>
  <c r="D104" i="22"/>
  <c r="C104" i="22"/>
  <c r="B104" i="22"/>
  <c r="G101" i="22"/>
  <c r="F101" i="22"/>
  <c r="E101" i="22"/>
  <c r="D101" i="22"/>
  <c r="C101" i="22"/>
  <c r="B101" i="22"/>
  <c r="G93" i="22"/>
  <c r="F93" i="22"/>
  <c r="E93" i="22"/>
  <c r="D93" i="22"/>
  <c r="C93" i="22"/>
  <c r="B93" i="22"/>
  <c r="G80" i="22"/>
  <c r="F80" i="22"/>
  <c r="E80" i="22"/>
  <c r="D80" i="22"/>
  <c r="C80" i="22"/>
  <c r="B80" i="22"/>
  <c r="G67" i="22"/>
  <c r="F67" i="22"/>
  <c r="E67" i="22"/>
  <c r="D67" i="22"/>
  <c r="C67" i="22"/>
  <c r="B67" i="22"/>
  <c r="G65" i="22"/>
  <c r="F65" i="22"/>
  <c r="E65" i="22"/>
  <c r="D65" i="22"/>
  <c r="C65" i="22"/>
  <c r="B65" i="22"/>
  <c r="G54" i="22"/>
  <c r="F54" i="22"/>
  <c r="E54" i="22"/>
  <c r="D54" i="22"/>
  <c r="C54" i="22"/>
  <c r="B54" i="22"/>
  <c r="D52" i="22"/>
  <c r="D63" i="22" s="1"/>
  <c r="D76" i="22" s="1"/>
  <c r="D89" i="22" s="1"/>
  <c r="D98" i="22" s="1"/>
  <c r="G41" i="22"/>
  <c r="D41" i="22"/>
  <c r="C41" i="22"/>
  <c r="G38" i="22"/>
  <c r="F38" i="22"/>
  <c r="F41" i="22" s="1"/>
  <c r="E38" i="22"/>
  <c r="E41" i="22" s="1"/>
  <c r="D38" i="22"/>
  <c r="C38" i="22"/>
  <c r="B38" i="22"/>
  <c r="B41" i="22" s="1"/>
  <c r="G37" i="22"/>
  <c r="G53" i="22" s="1"/>
  <c r="D37" i="22"/>
  <c r="D53" i="22" s="1"/>
  <c r="C37" i="22"/>
  <c r="C53" i="22" s="1"/>
  <c r="G36" i="22"/>
  <c r="G52" i="22" s="1"/>
  <c r="G63" i="22" s="1"/>
  <c r="G76" i="22" s="1"/>
  <c r="G89" i="22" s="1"/>
  <c r="G98" i="22" s="1"/>
  <c r="F36" i="22"/>
  <c r="F52" i="22" s="1"/>
  <c r="F63" i="22" s="1"/>
  <c r="F76" i="22" s="1"/>
  <c r="F89" i="22" s="1"/>
  <c r="F98" i="22" s="1"/>
  <c r="E36" i="22"/>
  <c r="E52" i="22" s="1"/>
  <c r="E63" i="22" s="1"/>
  <c r="E76" i="22" s="1"/>
  <c r="E89" i="22" s="1"/>
  <c r="E98" i="22" s="1"/>
  <c r="D36" i="22"/>
  <c r="C36" i="22"/>
  <c r="C52" i="22" s="1"/>
  <c r="C63" i="22" s="1"/>
  <c r="C76" i="22" s="1"/>
  <c r="C89" i="22" s="1"/>
  <c r="C98" i="22" s="1"/>
  <c r="B36" i="22"/>
  <c r="B52" i="22" s="1"/>
  <c r="B63" i="22" s="1"/>
  <c r="B76" i="22" s="1"/>
  <c r="B89" i="22" s="1"/>
  <c r="B98" i="22" s="1"/>
  <c r="E16" i="22"/>
  <c r="G13" i="22"/>
  <c r="D13" i="22"/>
  <c r="C13" i="22"/>
  <c r="G12" i="22"/>
  <c r="F12" i="22"/>
  <c r="E12" i="22"/>
  <c r="D12" i="22"/>
  <c r="C12" i="22"/>
  <c r="B12" i="22"/>
  <c r="G9" i="22"/>
  <c r="G16" i="22" s="1"/>
  <c r="F9" i="22"/>
  <c r="F16" i="22" s="1"/>
  <c r="E9" i="22"/>
  <c r="D9" i="22"/>
  <c r="D16" i="22" s="1"/>
  <c r="C9" i="22"/>
  <c r="C16" i="22" s="1"/>
  <c r="B9" i="22"/>
  <c r="B16" i="22" s="1"/>
  <c r="G105" i="19"/>
  <c r="F105" i="19"/>
  <c r="E105" i="19"/>
  <c r="D105" i="19"/>
  <c r="C105" i="19"/>
  <c r="B105" i="19"/>
  <c r="G99" i="19"/>
  <c r="G92" i="19"/>
  <c r="F92" i="19"/>
  <c r="E92" i="19"/>
  <c r="D92" i="19"/>
  <c r="C92" i="19"/>
  <c r="B92" i="19"/>
  <c r="G91" i="19"/>
  <c r="F91" i="19"/>
  <c r="E91" i="19"/>
  <c r="D91" i="19"/>
  <c r="C91" i="19"/>
  <c r="B91" i="19"/>
  <c r="G90" i="19"/>
  <c r="F90" i="19"/>
  <c r="E90" i="19"/>
  <c r="D90" i="19"/>
  <c r="C90" i="19"/>
  <c r="B90" i="19"/>
  <c r="G89" i="19"/>
  <c r="F89" i="19"/>
  <c r="E89" i="19"/>
  <c r="D89" i="19"/>
  <c r="C89" i="19"/>
  <c r="B89" i="19"/>
  <c r="G88" i="19"/>
  <c r="F88" i="19"/>
  <c r="E88" i="19"/>
  <c r="D88" i="19"/>
  <c r="C88" i="19"/>
  <c r="B88" i="19"/>
  <c r="G87" i="19"/>
  <c r="F87" i="19"/>
  <c r="E87" i="19"/>
  <c r="D87" i="19"/>
  <c r="C87" i="19"/>
  <c r="B87" i="19"/>
  <c r="G86" i="19"/>
  <c r="F86" i="19"/>
  <c r="E86" i="19"/>
  <c r="D86" i="19"/>
  <c r="C86" i="19"/>
  <c r="B86" i="19"/>
  <c r="G84" i="19"/>
  <c r="F84" i="19"/>
  <c r="E84" i="19"/>
  <c r="D84" i="19"/>
  <c r="C84" i="19"/>
  <c r="B84" i="19"/>
  <c r="G83" i="19"/>
  <c r="F83" i="19"/>
  <c r="E83" i="19"/>
  <c r="D83" i="19"/>
  <c r="C83" i="19"/>
  <c r="B83" i="19"/>
  <c r="G82" i="19"/>
  <c r="F82" i="19"/>
  <c r="E82" i="19"/>
  <c r="D82" i="19"/>
  <c r="C82" i="19"/>
  <c r="B82" i="19"/>
  <c r="G76" i="19"/>
  <c r="F76" i="19"/>
  <c r="E76" i="19"/>
  <c r="D76" i="19"/>
  <c r="C76" i="19"/>
  <c r="B76" i="19"/>
  <c r="G75" i="19"/>
  <c r="F75" i="19"/>
  <c r="E75" i="19"/>
  <c r="D75" i="19"/>
  <c r="C75" i="19"/>
  <c r="B75" i="19"/>
  <c r="G74" i="19"/>
  <c r="F74" i="19"/>
  <c r="E74" i="19"/>
  <c r="D74" i="19"/>
  <c r="C74" i="19"/>
  <c r="B74" i="19"/>
  <c r="G73" i="19"/>
  <c r="F73" i="19"/>
  <c r="E73" i="19"/>
  <c r="D73" i="19"/>
  <c r="C73" i="19"/>
  <c r="B73" i="19"/>
  <c r="H72" i="19"/>
  <c r="H81" i="19" s="1"/>
  <c r="H97" i="19" s="1"/>
  <c r="D72" i="19"/>
  <c r="D81" i="19" s="1"/>
  <c r="D97" i="19" s="1"/>
  <c r="G38" i="32"/>
  <c r="F38" i="32"/>
  <c r="E38" i="32"/>
  <c r="D38" i="32"/>
  <c r="C38" i="32"/>
  <c r="B38" i="32"/>
  <c r="G33" i="32"/>
  <c r="F33" i="32"/>
  <c r="E33" i="32"/>
  <c r="D33" i="32"/>
  <c r="C33" i="32"/>
  <c r="B33" i="32"/>
  <c r="G49" i="32"/>
  <c r="G50" i="32" s="1"/>
  <c r="F49" i="32"/>
  <c r="F50" i="32" s="1"/>
  <c r="E49" i="32"/>
  <c r="E50" i="32" s="1"/>
  <c r="D49" i="32"/>
  <c r="D50" i="32" s="1"/>
  <c r="C49" i="32"/>
  <c r="C50" i="32" s="1"/>
  <c r="B49" i="32"/>
  <c r="B50" i="32" s="1"/>
  <c r="G46" i="32"/>
  <c r="F46" i="32"/>
  <c r="E46" i="32"/>
  <c r="D46" i="32"/>
  <c r="C46" i="32"/>
  <c r="B46" i="32"/>
  <c r="B58" i="32"/>
  <c r="B59" i="32" s="1"/>
  <c r="G57" i="32"/>
  <c r="G58" i="32" s="1"/>
  <c r="G59" i="32" s="1"/>
  <c r="F57" i="32"/>
  <c r="F58" i="32" s="1"/>
  <c r="F59" i="32" s="1"/>
  <c r="E57" i="32"/>
  <c r="E58" i="32" s="1"/>
  <c r="E59" i="32" s="1"/>
  <c r="D57" i="32"/>
  <c r="D58" i="32" s="1"/>
  <c r="D59" i="32" s="1"/>
  <c r="C57" i="32"/>
  <c r="C58" i="32" s="1"/>
  <c r="C59" i="32" s="1"/>
  <c r="B57" i="32"/>
  <c r="G66" i="32"/>
  <c r="G68" i="32" s="1"/>
  <c r="G70" i="32" s="1"/>
  <c r="F66" i="32"/>
  <c r="F68" i="32" s="1"/>
  <c r="F70" i="32" s="1"/>
  <c r="E66" i="32"/>
  <c r="E68" i="32" s="1"/>
  <c r="E70" i="32" s="1"/>
  <c r="D66" i="32"/>
  <c r="D68" i="32" s="1"/>
  <c r="D70" i="32" s="1"/>
  <c r="C66" i="32"/>
  <c r="C68" i="32" s="1"/>
  <c r="C70" i="32" s="1"/>
  <c r="B66" i="32"/>
  <c r="B68" i="32" s="1"/>
  <c r="B70" i="32" s="1"/>
  <c r="G24" i="32"/>
  <c r="G44" i="32" s="1"/>
  <c r="G54" i="32" s="1"/>
  <c r="G63" i="32" s="1"/>
  <c r="F24" i="32"/>
  <c r="F31" i="32" s="1"/>
  <c r="E24" i="32"/>
  <c r="E44" i="32" s="1"/>
  <c r="E54" i="32" s="1"/>
  <c r="E63" i="32" s="1"/>
  <c r="D24" i="32"/>
  <c r="D44" i="32" s="1"/>
  <c r="D54" i="32" s="1"/>
  <c r="D63" i="32" s="1"/>
  <c r="C24" i="32"/>
  <c r="C44" i="32" s="1"/>
  <c r="C54" i="32" s="1"/>
  <c r="C63" i="32" s="1"/>
  <c r="B24" i="32"/>
  <c r="B31" i="32" s="1"/>
  <c r="G101" i="21"/>
  <c r="F101" i="21"/>
  <c r="E101" i="21"/>
  <c r="D101" i="21"/>
  <c r="D321" i="44" s="1"/>
  <c r="D319" i="44" s="1"/>
  <c r="C101" i="21"/>
  <c r="B101" i="21"/>
  <c r="G90" i="21"/>
  <c r="D90" i="21"/>
  <c r="C90" i="21"/>
  <c r="G82" i="21"/>
  <c r="G310" i="44" s="1"/>
  <c r="F82" i="21"/>
  <c r="F310" i="44" s="1"/>
  <c r="E82" i="21"/>
  <c r="E310" i="44" s="1"/>
  <c r="D82" i="21"/>
  <c r="D310" i="44" s="1"/>
  <c r="C82" i="21"/>
  <c r="C310" i="44" s="1"/>
  <c r="B82" i="21"/>
  <c r="B310" i="44" s="1"/>
  <c r="G80" i="21"/>
  <c r="F80" i="21"/>
  <c r="E80" i="21"/>
  <c r="D80" i="21"/>
  <c r="C80" i="21"/>
  <c r="B80" i="21"/>
  <c r="G67" i="21"/>
  <c r="F67" i="21"/>
  <c r="E67" i="21"/>
  <c r="D67" i="21"/>
  <c r="C67" i="21"/>
  <c r="B67" i="21"/>
  <c r="B299" i="44" s="1"/>
  <c r="G59" i="21"/>
  <c r="G294" i="44" s="1"/>
  <c r="F59" i="21"/>
  <c r="F294" i="44" s="1"/>
  <c r="E59" i="21"/>
  <c r="E294" i="44" s="1"/>
  <c r="D59" i="21"/>
  <c r="D294" i="44" s="1"/>
  <c r="C59" i="21"/>
  <c r="C294" i="44" s="1"/>
  <c r="B294" i="44"/>
  <c r="G52" i="21"/>
  <c r="F41" i="21" s="1"/>
  <c r="F52" i="21"/>
  <c r="E41" i="21" s="1"/>
  <c r="E52" i="21"/>
  <c r="D52" i="21"/>
  <c r="C41" i="21" s="1"/>
  <c r="C52" i="21"/>
  <c r="B41" i="21" s="1"/>
  <c r="B52" i="21"/>
  <c r="G51" i="21"/>
  <c r="G292" i="44" s="1"/>
  <c r="F51" i="21"/>
  <c r="F292" i="44" s="1"/>
  <c r="E51" i="21"/>
  <c r="D51" i="21"/>
  <c r="C51" i="21"/>
  <c r="C292" i="44" s="1"/>
  <c r="B51" i="21"/>
  <c r="B292" i="44" s="1"/>
  <c r="D41" i="21"/>
  <c r="D40" i="21"/>
  <c r="C40" i="21"/>
  <c r="G35" i="21"/>
  <c r="F35" i="21"/>
  <c r="F99" i="19" s="1"/>
  <c r="E35" i="21"/>
  <c r="E99" i="19" s="1"/>
  <c r="D35" i="21"/>
  <c r="D99" i="19" s="1"/>
  <c r="C35" i="21"/>
  <c r="C99" i="19" s="1"/>
  <c r="B35" i="21"/>
  <c r="J29" i="21"/>
  <c r="I29" i="21"/>
  <c r="H29" i="21"/>
  <c r="G29" i="21"/>
  <c r="G48" i="21" s="1"/>
  <c r="G74" i="21" s="1"/>
  <c r="G99" i="21" s="1"/>
  <c r="F29" i="21"/>
  <c r="F48" i="21" s="1"/>
  <c r="F74" i="21" s="1"/>
  <c r="F99" i="21" s="1"/>
  <c r="E29" i="21"/>
  <c r="E48" i="21" s="1"/>
  <c r="E74" i="21" s="1"/>
  <c r="E99" i="21" s="1"/>
  <c r="D29" i="21"/>
  <c r="D48" i="21" s="1"/>
  <c r="D74" i="21" s="1"/>
  <c r="D99" i="21" s="1"/>
  <c r="C29" i="21"/>
  <c r="C48" i="21" s="1"/>
  <c r="C74" i="21" s="1"/>
  <c r="C99" i="21" s="1"/>
  <c r="B29" i="21"/>
  <c r="B48" i="21" s="1"/>
  <c r="B74" i="21" s="1"/>
  <c r="B99" i="21" s="1"/>
  <c r="N58" i="19"/>
  <c r="M58" i="19"/>
  <c r="L58" i="19"/>
  <c r="K58" i="19"/>
  <c r="J58" i="19"/>
  <c r="J72" i="19" s="1"/>
  <c r="I58" i="19"/>
  <c r="I72" i="19" s="1"/>
  <c r="I81" i="19" s="1"/>
  <c r="I97" i="19" s="1"/>
  <c r="H58" i="19"/>
  <c r="G58" i="19"/>
  <c r="G72" i="19" s="1"/>
  <c r="G81" i="19" s="1"/>
  <c r="G97" i="19" s="1"/>
  <c r="F58" i="19"/>
  <c r="F72" i="19" s="1"/>
  <c r="F81" i="19" s="1"/>
  <c r="F97" i="19" s="1"/>
  <c r="E58" i="19"/>
  <c r="E72" i="19" s="1"/>
  <c r="E81" i="19" s="1"/>
  <c r="E97" i="19" s="1"/>
  <c r="D58" i="19"/>
  <c r="C58" i="19"/>
  <c r="C72" i="19" s="1"/>
  <c r="C81" i="19" s="1"/>
  <c r="C97" i="19" s="1"/>
  <c r="B58" i="19"/>
  <c r="B72" i="19" s="1"/>
  <c r="B81" i="19" s="1"/>
  <c r="B97" i="19" s="1"/>
  <c r="G51" i="19"/>
  <c r="F51" i="19"/>
  <c r="E51" i="19"/>
  <c r="D51" i="19"/>
  <c r="C51" i="19"/>
  <c r="G44" i="19"/>
  <c r="F44" i="19"/>
  <c r="E44" i="19"/>
  <c r="D44" i="19"/>
  <c r="C44" i="19"/>
  <c r="G37" i="19"/>
  <c r="F37" i="19"/>
  <c r="E37" i="19"/>
  <c r="D37" i="19"/>
  <c r="C37" i="19"/>
  <c r="G21" i="19"/>
  <c r="F21" i="19"/>
  <c r="F37" i="22" s="1"/>
  <c r="F53" i="22" s="1"/>
  <c r="E21" i="19"/>
  <c r="E37" i="22" s="1"/>
  <c r="E53" i="22" s="1"/>
  <c r="D21" i="19"/>
  <c r="C21" i="19"/>
  <c r="G14" i="19"/>
  <c r="G138" i="44" s="1"/>
  <c r="G146" i="44" s="1"/>
  <c r="G156" i="44" s="1"/>
  <c r="F14" i="19"/>
  <c r="E14" i="19"/>
  <c r="E138" i="44" s="1"/>
  <c r="E146" i="44" s="1"/>
  <c r="E156" i="44" s="1"/>
  <c r="D14" i="19"/>
  <c r="C14" i="19"/>
  <c r="B14" i="19"/>
  <c r="G11" i="19"/>
  <c r="F11" i="19"/>
  <c r="F13" i="22" s="1"/>
  <c r="E11" i="19"/>
  <c r="E13" i="22" s="1"/>
  <c r="D11" i="19"/>
  <c r="C11" i="19"/>
  <c r="F24" i="42"/>
  <c r="F23" i="42"/>
  <c r="F15" i="42"/>
  <c r="E15" i="42"/>
  <c r="D15" i="42"/>
  <c r="C15" i="42"/>
  <c r="G6" i="42"/>
  <c r="K230" i="44" l="1"/>
  <c r="N229" i="44"/>
  <c r="N230" i="44"/>
  <c r="J278" i="44"/>
  <c r="J281" i="44" s="1"/>
  <c r="C22" i="19"/>
  <c r="C24" i="19" s="1"/>
  <c r="C138" i="44"/>
  <c r="C146" i="44" s="1"/>
  <c r="C156" i="44" s="1"/>
  <c r="G291" i="44"/>
  <c r="G306" i="44" s="1"/>
  <c r="G158" i="44"/>
  <c r="G157" i="44"/>
  <c r="B99" i="19"/>
  <c r="B290" i="44"/>
  <c r="B107" i="21"/>
  <c r="B14" i="21" s="1"/>
  <c r="B321" i="44"/>
  <c r="B319" i="44" s="1"/>
  <c r="F107" i="21"/>
  <c r="F14" i="21" s="1"/>
  <c r="C78" i="19" s="1"/>
  <c r="F321" i="44"/>
  <c r="F319" i="44" s="1"/>
  <c r="D22" i="19"/>
  <c r="D24" i="19" s="1"/>
  <c r="D138" i="44"/>
  <c r="D146" i="44" s="1"/>
  <c r="D156" i="44" s="1"/>
  <c r="G22" i="19"/>
  <c r="G24" i="19" s="1"/>
  <c r="G290" i="44"/>
  <c r="M278" i="44"/>
  <c r="M281" i="44" s="1"/>
  <c r="E157" i="44"/>
  <c r="E162" i="44" s="1"/>
  <c r="E291" i="44"/>
  <c r="E306" i="44" s="1"/>
  <c r="E158" i="44"/>
  <c r="E22" i="19"/>
  <c r="E24" i="19" s="1"/>
  <c r="E40" i="21"/>
  <c r="D292" i="44"/>
  <c r="E90" i="21"/>
  <c r="D107" i="21"/>
  <c r="D14" i="21" s="1"/>
  <c r="D31" i="32"/>
  <c r="K229" i="44"/>
  <c r="K278" i="44" s="1"/>
  <c r="K281" i="44" s="1"/>
  <c r="C107" i="21"/>
  <c r="C14" i="21" s="1"/>
  <c r="C321" i="44"/>
  <c r="C319" i="44" s="1"/>
  <c r="G107" i="21"/>
  <c r="G14" i="21" s="1"/>
  <c r="D78" i="19" s="1"/>
  <c r="G321" i="44"/>
  <c r="G319" i="44" s="1"/>
  <c r="C31" i="32"/>
  <c r="B138" i="44"/>
  <c r="B146" i="44" s="1"/>
  <c r="B156" i="44" s="1"/>
  <c r="E15" i="8"/>
  <c r="F22" i="19"/>
  <c r="F24" i="19" s="1"/>
  <c r="F138" i="44"/>
  <c r="F146" i="44" s="1"/>
  <c r="F156" i="44" s="1"/>
  <c r="B40" i="21"/>
  <c r="F40" i="21"/>
  <c r="G70" i="21"/>
  <c r="G12" i="21" s="1"/>
  <c r="E292" i="44"/>
  <c r="E107" i="21"/>
  <c r="E14" i="21" s="1"/>
  <c r="B78" i="19" s="1"/>
  <c r="E321" i="44"/>
  <c r="E319" i="44" s="1"/>
  <c r="G31" i="32"/>
  <c r="I229" i="44"/>
  <c r="I230" i="44"/>
  <c r="C70" i="21"/>
  <c r="C12" i="21" s="1"/>
  <c r="B44" i="32"/>
  <c r="B54" i="32" s="1"/>
  <c r="B63" i="32" s="1"/>
  <c r="F44" i="32"/>
  <c r="F54" i="32" s="1"/>
  <c r="F63" i="32" s="1"/>
  <c r="E31" i="32"/>
  <c r="G105" i="22"/>
  <c r="D105" i="22"/>
  <c r="F105" i="22"/>
  <c r="E105" i="22"/>
  <c r="C105" i="22"/>
  <c r="B105" i="22"/>
  <c r="E70" i="21"/>
  <c r="E12" i="21" s="1"/>
  <c r="B70" i="21"/>
  <c r="F70" i="21"/>
  <c r="C94" i="19"/>
  <c r="G94" i="19"/>
  <c r="D70" i="21"/>
  <c r="B90" i="21"/>
  <c r="F90" i="21"/>
  <c r="E94" i="19"/>
  <c r="O93" i="21"/>
  <c r="N93" i="21"/>
  <c r="O59" i="21"/>
  <c r="N59" i="21"/>
  <c r="N294" i="44" s="1"/>
  <c r="M59" i="21"/>
  <c r="M294" i="44" s="1"/>
  <c r="L59" i="21"/>
  <c r="L294" i="44" s="1"/>
  <c r="K59" i="21"/>
  <c r="K294" i="44" s="1"/>
  <c r="J59" i="21"/>
  <c r="J294" i="44" s="1"/>
  <c r="I59" i="21"/>
  <c r="I294" i="44" s="1"/>
  <c r="H59" i="21"/>
  <c r="H294" i="44" s="1"/>
  <c r="Q26" i="32"/>
  <c r="Q33" i="32"/>
  <c r="P33" i="32"/>
  <c r="O33" i="32"/>
  <c r="N33" i="32"/>
  <c r="M33" i="32"/>
  <c r="L33" i="32"/>
  <c r="K33" i="32"/>
  <c r="J33" i="32"/>
  <c r="I33" i="32"/>
  <c r="H33" i="32"/>
  <c r="O35" i="21"/>
  <c r="N278" i="44" l="1"/>
  <c r="N281" i="44" s="1"/>
  <c r="E290" i="44"/>
  <c r="D75" i="21"/>
  <c r="D304" i="44"/>
  <c r="B157" i="44"/>
  <c r="B158" i="44"/>
  <c r="G162" i="44"/>
  <c r="G163" i="44"/>
  <c r="I278" i="44"/>
  <c r="I281" i="44" s="1"/>
  <c r="E163" i="44"/>
  <c r="E217" i="44" s="1"/>
  <c r="D25" i="19"/>
  <c r="D14" i="22"/>
  <c r="D15" i="22" s="1"/>
  <c r="D17" i="22" s="1"/>
  <c r="D85" i="19"/>
  <c r="B75" i="21"/>
  <c r="B304" i="44"/>
  <c r="G25" i="19"/>
  <c r="G85" i="19"/>
  <c r="G14" i="22"/>
  <c r="G15" i="22" s="1"/>
  <c r="G17" i="22" s="1"/>
  <c r="C291" i="44"/>
  <c r="C158" i="44"/>
  <c r="C157" i="44"/>
  <c r="C75" i="21"/>
  <c r="C304" i="44"/>
  <c r="G75" i="21"/>
  <c r="G304" i="44"/>
  <c r="F291" i="44"/>
  <c r="F158" i="44"/>
  <c r="F157" i="44"/>
  <c r="E25" i="19"/>
  <c r="E85" i="19"/>
  <c r="E14" i="22"/>
  <c r="E15" i="22" s="1"/>
  <c r="E17" i="22" s="1"/>
  <c r="D291" i="44"/>
  <c r="D306" i="44" s="1"/>
  <c r="D157" i="44"/>
  <c r="D158" i="44"/>
  <c r="C25" i="19"/>
  <c r="C14" i="22"/>
  <c r="C15" i="22" s="1"/>
  <c r="C17" i="22" s="1"/>
  <c r="C85" i="19"/>
  <c r="E75" i="21"/>
  <c r="E304" i="44"/>
  <c r="F25" i="19"/>
  <c r="F85" i="19"/>
  <c r="F14" i="22"/>
  <c r="F15" i="22" s="1"/>
  <c r="F17" i="22" s="1"/>
  <c r="F92" i="21" s="1"/>
  <c r="F75" i="21"/>
  <c r="F304" i="44"/>
  <c r="F12" i="21"/>
  <c r="F94" i="19"/>
  <c r="B12" i="21"/>
  <c r="B94" i="19"/>
  <c r="D12" i="21"/>
  <c r="D94" i="19"/>
  <c r="G92" i="21"/>
  <c r="F39" i="21"/>
  <c r="C92" i="21"/>
  <c r="B39" i="21"/>
  <c r="O92" i="19"/>
  <c r="N92" i="19"/>
  <c r="M92" i="19"/>
  <c r="L92" i="19"/>
  <c r="K92" i="19"/>
  <c r="J92" i="19"/>
  <c r="I92" i="19"/>
  <c r="H92" i="19"/>
  <c r="O91" i="19"/>
  <c r="N91" i="19"/>
  <c r="M91" i="19"/>
  <c r="L91" i="19"/>
  <c r="K91" i="19"/>
  <c r="J91" i="19"/>
  <c r="I91" i="19"/>
  <c r="H91" i="19"/>
  <c r="O90" i="19"/>
  <c r="N90" i="19"/>
  <c r="M90" i="19"/>
  <c r="L90" i="19"/>
  <c r="K90" i="19"/>
  <c r="J90" i="19"/>
  <c r="I90" i="19"/>
  <c r="H90" i="19"/>
  <c r="O89" i="19"/>
  <c r="N89" i="19"/>
  <c r="M89" i="19"/>
  <c r="L89" i="19"/>
  <c r="K89" i="19"/>
  <c r="J89" i="19"/>
  <c r="I89" i="19"/>
  <c r="H89" i="19"/>
  <c r="O88" i="19"/>
  <c r="N88" i="19"/>
  <c r="M88" i="19"/>
  <c r="L88" i="19"/>
  <c r="K88" i="19"/>
  <c r="J88" i="19"/>
  <c r="I88" i="19"/>
  <c r="H88" i="19"/>
  <c r="O87" i="19"/>
  <c r="N87" i="19"/>
  <c r="M87" i="19"/>
  <c r="L87" i="19"/>
  <c r="K87" i="19"/>
  <c r="J87" i="19"/>
  <c r="I87" i="19"/>
  <c r="H87" i="19"/>
  <c r="O86" i="19"/>
  <c r="N86" i="19"/>
  <c r="M86" i="19"/>
  <c r="L86" i="19"/>
  <c r="K86" i="19"/>
  <c r="J86" i="19"/>
  <c r="I86" i="19"/>
  <c r="H86" i="19"/>
  <c r="O84" i="19"/>
  <c r="N84" i="19"/>
  <c r="M84" i="19"/>
  <c r="L84" i="19"/>
  <c r="K84" i="19"/>
  <c r="J84" i="19"/>
  <c r="I84" i="19"/>
  <c r="H84" i="19"/>
  <c r="O83" i="19"/>
  <c r="N83" i="19"/>
  <c r="M83" i="19"/>
  <c r="L83" i="19"/>
  <c r="K83" i="19"/>
  <c r="J83" i="19"/>
  <c r="I83" i="19"/>
  <c r="H83" i="19"/>
  <c r="O82" i="19"/>
  <c r="N82" i="19"/>
  <c r="M82" i="19"/>
  <c r="L82" i="19"/>
  <c r="K82" i="19"/>
  <c r="J82" i="19"/>
  <c r="I82" i="19"/>
  <c r="H82" i="19"/>
  <c r="O11" i="19"/>
  <c r="N11" i="19"/>
  <c r="M11" i="19"/>
  <c r="L11" i="19"/>
  <c r="K11" i="19"/>
  <c r="J11" i="19"/>
  <c r="I11" i="19"/>
  <c r="H11" i="19"/>
  <c r="H13" i="22" s="1"/>
  <c r="B11" i="19"/>
  <c r="B13" i="22" s="1"/>
  <c r="O21" i="19"/>
  <c r="O37" i="22" s="1"/>
  <c r="N21" i="19"/>
  <c r="N37" i="22" s="1"/>
  <c r="M21" i="19"/>
  <c r="M37" i="22" s="1"/>
  <c r="L21" i="19"/>
  <c r="K21" i="19"/>
  <c r="K37" i="22" s="1"/>
  <c r="J21" i="19"/>
  <c r="J37" i="22" s="1"/>
  <c r="J53" i="22" s="1"/>
  <c r="I21" i="19"/>
  <c r="I37" i="22" s="1"/>
  <c r="I53" i="22" s="1"/>
  <c r="H21" i="19"/>
  <c r="B21" i="19"/>
  <c r="B37" i="22" s="1"/>
  <c r="B53" i="22" s="1"/>
  <c r="O37" i="19"/>
  <c r="N37" i="19"/>
  <c r="M37" i="19"/>
  <c r="L37" i="19"/>
  <c r="K37" i="19"/>
  <c r="J37" i="19"/>
  <c r="I37" i="19"/>
  <c r="H37" i="19"/>
  <c r="B37" i="19"/>
  <c r="O44" i="19"/>
  <c r="N44" i="19"/>
  <c r="M44" i="19"/>
  <c r="L44" i="19"/>
  <c r="K44" i="19"/>
  <c r="J44" i="19"/>
  <c r="I44" i="19"/>
  <c r="H44" i="19"/>
  <c r="B44" i="19"/>
  <c r="E30" i="8" s="1"/>
  <c r="O51" i="19"/>
  <c r="N51" i="19"/>
  <c r="M51" i="19"/>
  <c r="L51" i="19"/>
  <c r="K51" i="19"/>
  <c r="J51" i="19"/>
  <c r="I51" i="19"/>
  <c r="H51" i="19"/>
  <c r="B51" i="19"/>
  <c r="I104" i="22"/>
  <c r="H104" i="22"/>
  <c r="I101" i="22"/>
  <c r="I105" i="22" s="1"/>
  <c r="H101" i="22"/>
  <c r="I93" i="22"/>
  <c r="H93" i="22"/>
  <c r="I80" i="22"/>
  <c r="H80" i="22"/>
  <c r="H49" i="32"/>
  <c r="B18" i="32" s="1"/>
  <c r="H46" i="32"/>
  <c r="H38" i="32"/>
  <c r="J67" i="22"/>
  <c r="I67" i="22"/>
  <c r="H67" i="22"/>
  <c r="I54" i="22"/>
  <c r="H54" i="22"/>
  <c r="I38" i="22"/>
  <c r="I90" i="21" s="1"/>
  <c r="H38" i="22"/>
  <c r="H41" i="22" s="1"/>
  <c r="L37" i="22"/>
  <c r="H37" i="22"/>
  <c r="H53" i="22" s="1"/>
  <c r="P14" i="22"/>
  <c r="P13" i="22"/>
  <c r="J14" i="19"/>
  <c r="I14" i="19"/>
  <c r="H14" i="19"/>
  <c r="H138" i="44" s="1"/>
  <c r="H146" i="44" s="1"/>
  <c r="H156" i="44" s="1"/>
  <c r="K9" i="22"/>
  <c r="J9" i="22"/>
  <c r="I9" i="22"/>
  <c r="I16" i="22" s="1"/>
  <c r="H9" i="22"/>
  <c r="H16" i="22" s="1"/>
  <c r="I105" i="19"/>
  <c r="H105" i="19"/>
  <c r="I76" i="19"/>
  <c r="I75" i="19"/>
  <c r="I74" i="19"/>
  <c r="I73" i="19"/>
  <c r="H76" i="19"/>
  <c r="H75" i="19"/>
  <c r="H74" i="19"/>
  <c r="H73" i="19"/>
  <c r="I13" i="22"/>
  <c r="H101" i="21"/>
  <c r="I101" i="21"/>
  <c r="H90" i="21"/>
  <c r="H82" i="21"/>
  <c r="H310" i="44" s="1"/>
  <c r="H80" i="21"/>
  <c r="I82" i="21"/>
  <c r="I310" i="44" s="1"/>
  <c r="I80" i="21"/>
  <c r="H67" i="21"/>
  <c r="H52" i="21"/>
  <c r="G41" i="21" s="1"/>
  <c r="H51" i="21"/>
  <c r="H292" i="44" s="1"/>
  <c r="I67" i="21"/>
  <c r="I52" i="21"/>
  <c r="H41" i="21" s="1"/>
  <c r="I51" i="21"/>
  <c r="D290" i="44" l="1"/>
  <c r="H40" i="21"/>
  <c r="I75" i="21"/>
  <c r="I304" i="44"/>
  <c r="F43" i="21"/>
  <c r="F11" i="21" s="1"/>
  <c r="C77" i="19" s="1"/>
  <c r="C79" i="19" s="1"/>
  <c r="C59" i="19" s="1"/>
  <c r="C104" i="19" s="1"/>
  <c r="C106" i="19" s="1"/>
  <c r="F289" i="44"/>
  <c r="F282" i="44" s="1"/>
  <c r="F437" i="44" s="1"/>
  <c r="D39" i="21"/>
  <c r="E92" i="21"/>
  <c r="G217" i="44"/>
  <c r="G218" i="44"/>
  <c r="I107" i="21"/>
  <c r="I14" i="21" s="1"/>
  <c r="F78" i="19" s="1"/>
  <c r="I321" i="44"/>
  <c r="I319" i="44" s="1"/>
  <c r="F306" i="44"/>
  <c r="F290" i="44"/>
  <c r="B162" i="44"/>
  <c r="B163" i="44"/>
  <c r="I292" i="44"/>
  <c r="I290" i="44" s="1"/>
  <c r="G40" i="21"/>
  <c r="H107" i="21"/>
  <c r="H14" i="21" s="1"/>
  <c r="E78" i="19" s="1"/>
  <c r="H321" i="44"/>
  <c r="H319" i="44" s="1"/>
  <c r="E39" i="21"/>
  <c r="D162" i="44"/>
  <c r="D163" i="44"/>
  <c r="E26" i="19"/>
  <c r="E30" i="19"/>
  <c r="C162" i="44"/>
  <c r="C163" i="44"/>
  <c r="E218" i="44"/>
  <c r="E229" i="44" s="1"/>
  <c r="B289" i="44"/>
  <c r="B282" i="44" s="1"/>
  <c r="B437" i="44" s="1"/>
  <c r="B43" i="21"/>
  <c r="C30" i="19"/>
  <c r="C26" i="19"/>
  <c r="C306" i="44"/>
  <c r="C290" i="44"/>
  <c r="D30" i="19"/>
  <c r="D26" i="19"/>
  <c r="H291" i="44"/>
  <c r="H306" i="44" s="1"/>
  <c r="H157" i="44"/>
  <c r="H158" i="44"/>
  <c r="H105" i="22"/>
  <c r="F26" i="19"/>
  <c r="F30" i="19"/>
  <c r="F162" i="44"/>
  <c r="F163" i="44"/>
  <c r="G30" i="19"/>
  <c r="G26" i="19"/>
  <c r="C39" i="21"/>
  <c r="D92" i="21"/>
  <c r="C4" i="32"/>
  <c r="H50" i="32"/>
  <c r="H22" i="19"/>
  <c r="H24" i="19" s="1"/>
  <c r="H85" i="19" s="1"/>
  <c r="I41" i="22"/>
  <c r="I70" i="21"/>
  <c r="H70" i="21"/>
  <c r="I22" i="19"/>
  <c r="I24" i="19" s="1"/>
  <c r="O36" i="22"/>
  <c r="O52" i="22" s="1"/>
  <c r="O63" i="22" s="1"/>
  <c r="O76" i="22" s="1"/>
  <c r="O89" i="22" s="1"/>
  <c r="N36" i="22"/>
  <c r="N52" i="22" s="1"/>
  <c r="N63" i="22" s="1"/>
  <c r="N76" i="22" s="1"/>
  <c r="N89" i="22" s="1"/>
  <c r="M36" i="22"/>
  <c r="M52" i="22" s="1"/>
  <c r="M63" i="22" s="1"/>
  <c r="M76" i="22" s="1"/>
  <c r="M89" i="22" s="1"/>
  <c r="L36" i="22"/>
  <c r="L52" i="22" s="1"/>
  <c r="L63" i="22" s="1"/>
  <c r="L76" i="22" s="1"/>
  <c r="L89" i="22" s="1"/>
  <c r="K36" i="22"/>
  <c r="K52" i="22" s="1"/>
  <c r="K63" i="22" s="1"/>
  <c r="K76" i="22" s="1"/>
  <c r="K89" i="22" s="1"/>
  <c r="J36" i="22"/>
  <c r="J52" i="22" s="1"/>
  <c r="J63" i="22" s="1"/>
  <c r="J76" i="22" s="1"/>
  <c r="J89" i="22" s="1"/>
  <c r="I36" i="22"/>
  <c r="I52" i="22" s="1"/>
  <c r="I63" i="22" s="1"/>
  <c r="I76" i="22" s="1"/>
  <c r="I89" i="22" s="1"/>
  <c r="I98" i="22" s="1"/>
  <c r="H36" i="22"/>
  <c r="H52" i="22" s="1"/>
  <c r="H63" i="22" s="1"/>
  <c r="H76" i="22" s="1"/>
  <c r="H89" i="22" s="1"/>
  <c r="H98" i="22" s="1"/>
  <c r="P36" i="22"/>
  <c r="P52" i="22" s="1"/>
  <c r="P63" i="22" s="1"/>
  <c r="P76" i="22" s="1"/>
  <c r="P89" i="22" s="1"/>
  <c r="O12" i="22"/>
  <c r="N12" i="22"/>
  <c r="M12" i="22"/>
  <c r="L12" i="22"/>
  <c r="K12" i="22"/>
  <c r="J12" i="22"/>
  <c r="I12" i="22"/>
  <c r="H12" i="22"/>
  <c r="P12" i="22"/>
  <c r="I48" i="21"/>
  <c r="I74" i="21" s="1"/>
  <c r="I99" i="21" s="1"/>
  <c r="H48" i="21"/>
  <c r="H74" i="21" s="1"/>
  <c r="H99" i="21" s="1"/>
  <c r="H57" i="32"/>
  <c r="H58" i="32" s="1"/>
  <c r="H59" i="32" s="1"/>
  <c r="H66" i="32"/>
  <c r="H68" i="32" s="1"/>
  <c r="H70" i="32" s="1"/>
  <c r="H24" i="32"/>
  <c r="H31" i="32" s="1"/>
  <c r="J66" i="32"/>
  <c r="J68" i="32" s="1"/>
  <c r="J70" i="32" s="1"/>
  <c r="J57" i="32"/>
  <c r="J58" i="32" s="1"/>
  <c r="J59" i="32" s="1"/>
  <c r="J46" i="32"/>
  <c r="J47" i="32"/>
  <c r="J49" i="32" s="1"/>
  <c r="D18" i="32" s="1"/>
  <c r="J38" i="32"/>
  <c r="J24" i="32"/>
  <c r="J44" i="32" s="1"/>
  <c r="J105" i="19"/>
  <c r="J76" i="19"/>
  <c r="J75" i="19"/>
  <c r="J74" i="19"/>
  <c r="J73" i="19"/>
  <c r="J81" i="19"/>
  <c r="J97" i="19" s="1"/>
  <c r="J22" i="19"/>
  <c r="J24" i="19" s="1"/>
  <c r="J13" i="22"/>
  <c r="A1" i="32"/>
  <c r="A1" i="22"/>
  <c r="N55" i="33"/>
  <c r="N52" i="33"/>
  <c r="N51" i="33"/>
  <c r="B49" i="33"/>
  <c r="C47" i="33"/>
  <c r="D47" i="33" s="1"/>
  <c r="E47" i="33" s="1"/>
  <c r="F47" i="33" s="1"/>
  <c r="G47" i="33" s="1"/>
  <c r="H47" i="33" s="1"/>
  <c r="I47" i="33" s="1"/>
  <c r="J47" i="33" s="1"/>
  <c r="K47" i="33" s="1"/>
  <c r="L47" i="33" s="1"/>
  <c r="M47" i="33"/>
  <c r="N47" i="33" s="1"/>
  <c r="E45" i="33"/>
  <c r="F45" i="33" s="1"/>
  <c r="G45" i="33" s="1"/>
  <c r="H45" i="33" s="1"/>
  <c r="I45" i="33" s="1"/>
  <c r="J45" i="33" s="1"/>
  <c r="K45" i="33" s="1"/>
  <c r="L45" i="33" s="1"/>
  <c r="M45" i="33" s="1"/>
  <c r="N45" i="33" s="1"/>
  <c r="C45" i="33"/>
  <c r="B44" i="33"/>
  <c r="B46" i="33" s="1"/>
  <c r="B48" i="33" s="1"/>
  <c r="C43" i="33"/>
  <c r="C44" i="33"/>
  <c r="N36" i="33"/>
  <c r="N33" i="33"/>
  <c r="N32" i="33"/>
  <c r="B30" i="33"/>
  <c r="C28" i="33"/>
  <c r="D28" i="33" s="1"/>
  <c r="E28" i="33" s="1"/>
  <c r="F28" i="33" s="1"/>
  <c r="G28" i="33" s="1"/>
  <c r="H28" i="33" s="1"/>
  <c r="I28" i="33" s="1"/>
  <c r="J28" i="33" s="1"/>
  <c r="K28" i="33" s="1"/>
  <c r="L28" i="33" s="1"/>
  <c r="M28" i="33" s="1"/>
  <c r="N28" i="33" s="1"/>
  <c r="E26" i="33"/>
  <c r="F26" i="33"/>
  <c r="G26" i="33" s="1"/>
  <c r="H26" i="33" s="1"/>
  <c r="I26" i="33" s="1"/>
  <c r="J26" i="33" s="1"/>
  <c r="K26" i="33" s="1"/>
  <c r="L26" i="33" s="1"/>
  <c r="M26" i="33" s="1"/>
  <c r="N26" i="33" s="1"/>
  <c r="C26" i="33"/>
  <c r="B25" i="33"/>
  <c r="B27" i="33" s="1"/>
  <c r="B29" i="33" s="1"/>
  <c r="C24" i="33"/>
  <c r="C25" i="33" s="1"/>
  <c r="C27" i="33" s="1"/>
  <c r="Q24" i="32"/>
  <c r="Q44" i="32" s="1"/>
  <c r="P24" i="32"/>
  <c r="P44" i="32" s="1"/>
  <c r="O24" i="32"/>
  <c r="O44" i="32" s="1"/>
  <c r="N24" i="32"/>
  <c r="N44" i="32" s="1"/>
  <c r="M24" i="32"/>
  <c r="M44" i="32" s="1"/>
  <c r="L24" i="32"/>
  <c r="L44" i="32" s="1"/>
  <c r="K24" i="32"/>
  <c r="K44" i="32" s="1"/>
  <c r="I24" i="32"/>
  <c r="N72" i="19"/>
  <c r="N81" i="19" s="1"/>
  <c r="N97" i="19" s="1"/>
  <c r="M72" i="19"/>
  <c r="M81" i="19" s="1"/>
  <c r="M97" i="19" s="1"/>
  <c r="L72" i="19"/>
  <c r="L81" i="19" s="1"/>
  <c r="L97" i="19" s="1"/>
  <c r="K72" i="19"/>
  <c r="K81" i="19" s="1"/>
  <c r="K97" i="19" s="1"/>
  <c r="O58" i="19"/>
  <c r="O72" i="19" s="1"/>
  <c r="O81" i="19" s="1"/>
  <c r="O97" i="19" s="1"/>
  <c r="N29" i="21"/>
  <c r="N48" i="21" s="1"/>
  <c r="N74" i="21" s="1"/>
  <c r="N99" i="21" s="1"/>
  <c r="M29" i="21"/>
  <c r="M48" i="21" s="1"/>
  <c r="M74" i="21" s="1"/>
  <c r="M99" i="21" s="1"/>
  <c r="L29" i="21"/>
  <c r="L48" i="21" s="1"/>
  <c r="L74" i="21" s="1"/>
  <c r="L99" i="21" s="1"/>
  <c r="K29" i="21"/>
  <c r="K48" i="21" s="1"/>
  <c r="K74" i="21" s="1"/>
  <c r="K99" i="21" s="1"/>
  <c r="J48" i="21"/>
  <c r="J74" i="21" s="1"/>
  <c r="J99" i="21" s="1"/>
  <c r="O29" i="21"/>
  <c r="O48" i="21" s="1"/>
  <c r="O74" i="21" s="1"/>
  <c r="O99" i="21" s="1"/>
  <c r="J104" i="22"/>
  <c r="J101" i="22"/>
  <c r="K104" i="22"/>
  <c r="K101" i="22"/>
  <c r="J93" i="22"/>
  <c r="K93" i="22"/>
  <c r="J80" i="22"/>
  <c r="K80" i="22"/>
  <c r="K67" i="22"/>
  <c r="J54" i="22"/>
  <c r="K54" i="22"/>
  <c r="J38" i="22"/>
  <c r="K38" i="22"/>
  <c r="K41" i="22" s="1"/>
  <c r="J16" i="22"/>
  <c r="K16" i="22"/>
  <c r="K105" i="19"/>
  <c r="K101" i="19"/>
  <c r="J82" i="21"/>
  <c r="J310" i="44" s="1"/>
  <c r="J80" i="21"/>
  <c r="K82" i="21"/>
  <c r="K310" i="44" s="1"/>
  <c r="K80" i="21"/>
  <c r="K67" i="21"/>
  <c r="J67" i="21"/>
  <c r="K52" i="21"/>
  <c r="J41" i="21" s="1"/>
  <c r="J52" i="21"/>
  <c r="I41" i="21" s="1"/>
  <c r="K51" i="21"/>
  <c r="K292" i="44" s="1"/>
  <c r="K290" i="44" s="1"/>
  <c r="J51" i="21"/>
  <c r="J101" i="21"/>
  <c r="I57" i="32"/>
  <c r="I58" i="32" s="1"/>
  <c r="I59" i="32" s="1"/>
  <c r="K57" i="32"/>
  <c r="K58" i="32" s="1"/>
  <c r="K59" i="32" s="1"/>
  <c r="I66" i="32"/>
  <c r="I68" i="32" s="1"/>
  <c r="I70" i="32" s="1"/>
  <c r="K66" i="32"/>
  <c r="K68" i="32" s="1"/>
  <c r="K70" i="32" s="1"/>
  <c r="B22" i="19"/>
  <c r="B24" i="19" s="1"/>
  <c r="K76" i="19"/>
  <c r="K75" i="19"/>
  <c r="K74" i="19"/>
  <c r="K73" i="19"/>
  <c r="K14" i="19"/>
  <c r="K22" i="19" s="1"/>
  <c r="K24" i="19" s="1"/>
  <c r="K85" i="19" s="1"/>
  <c r="K13" i="22"/>
  <c r="K46" i="32"/>
  <c r="K47" i="32" s="1"/>
  <c r="K49" i="32" s="1"/>
  <c r="E18" i="32" s="1"/>
  <c r="I46" i="32"/>
  <c r="I47" i="32" s="1"/>
  <c r="I49" i="32" s="1"/>
  <c r="C18" i="32" s="1"/>
  <c r="K38" i="32"/>
  <c r="I38" i="32"/>
  <c r="G5" i="17"/>
  <c r="C81" i="17" s="1"/>
  <c r="E24" i="17"/>
  <c r="E25" i="17"/>
  <c r="F33" i="17"/>
  <c r="F34" i="17"/>
  <c r="F35" i="17"/>
  <c r="F36" i="17"/>
  <c r="E33" i="17"/>
  <c r="E47" i="17"/>
  <c r="E34" i="17"/>
  <c r="E48" i="17" s="1"/>
  <c r="C60" i="17" s="1"/>
  <c r="D60" i="17" s="1"/>
  <c r="E35" i="17"/>
  <c r="E36" i="17"/>
  <c r="E108" i="17"/>
  <c r="E143" i="17" s="1"/>
  <c r="E152" i="17" s="1"/>
  <c r="C116" i="17"/>
  <c r="C161" i="17" s="1"/>
  <c r="C117" i="17"/>
  <c r="C162" i="17"/>
  <c r="C118" i="17"/>
  <c r="C163" i="17" s="1"/>
  <c r="O67" i="21"/>
  <c r="O90" i="21"/>
  <c r="N51" i="21"/>
  <c r="N52" i="21"/>
  <c r="M41" i="21" s="1"/>
  <c r="N67" i="21"/>
  <c r="N80" i="21"/>
  <c r="N82" i="21"/>
  <c r="N310" i="44" s="1"/>
  <c r="N89" i="21"/>
  <c r="N90" i="21"/>
  <c r="M51" i="21"/>
  <c r="M292" i="44" s="1"/>
  <c r="M290" i="44" s="1"/>
  <c r="M52" i="21"/>
  <c r="L41" i="21" s="1"/>
  <c r="M67" i="21"/>
  <c r="M80" i="21"/>
  <c r="M82" i="21"/>
  <c r="M310" i="44" s="1"/>
  <c r="L51" i="21"/>
  <c r="L52" i="21"/>
  <c r="K41" i="21" s="1"/>
  <c r="L67" i="21"/>
  <c r="L80" i="21"/>
  <c r="L82" i="21"/>
  <c r="L310" i="44" s="1"/>
  <c r="M10" i="32"/>
  <c r="M67" i="22" s="1"/>
  <c r="O94" i="22"/>
  <c r="O82" i="21" s="1"/>
  <c r="O68" i="22"/>
  <c r="O70" i="22" s="1"/>
  <c r="N9" i="22"/>
  <c r="N16" i="22" s="1"/>
  <c r="O27" i="22"/>
  <c r="N38" i="21" s="1"/>
  <c r="O9" i="22"/>
  <c r="N101" i="21" s="1"/>
  <c r="N101" i="22"/>
  <c r="M9" i="22"/>
  <c r="M16" i="22" s="1"/>
  <c r="M101" i="22"/>
  <c r="M104" i="22"/>
  <c r="M38" i="22"/>
  <c r="M90" i="21" s="1"/>
  <c r="L9" i="22"/>
  <c r="L31" i="21" s="1"/>
  <c r="L101" i="22"/>
  <c r="L104" i="22"/>
  <c r="L38" i="22"/>
  <c r="O101" i="22"/>
  <c r="P27" i="22"/>
  <c r="O38" i="21" s="1"/>
  <c r="P9" i="22"/>
  <c r="O101" i="21" s="1"/>
  <c r="O107" i="21" s="1"/>
  <c r="O14" i="21" s="1"/>
  <c r="O78" i="19" s="1"/>
  <c r="O54" i="22"/>
  <c r="O89" i="21" s="1"/>
  <c r="O93" i="22"/>
  <c r="O50" i="21" s="1"/>
  <c r="L46" i="32"/>
  <c r="L47" i="32" s="1"/>
  <c r="L49" i="32" s="1"/>
  <c r="F18" i="32" s="1"/>
  <c r="M46" i="32"/>
  <c r="M47" i="32" s="1"/>
  <c r="M49" i="32" s="1"/>
  <c r="G18" i="32" s="1"/>
  <c r="P46" i="32"/>
  <c r="P47" i="32" s="1"/>
  <c r="P49" i="32" s="1"/>
  <c r="P50" i="32" s="1"/>
  <c r="Q46" i="32"/>
  <c r="Q47" i="32" s="1"/>
  <c r="Q49" i="32" s="1"/>
  <c r="Q6" i="32"/>
  <c r="Q7" i="32" s="1"/>
  <c r="P6" i="32"/>
  <c r="P11" i="32" s="1"/>
  <c r="L105" i="19"/>
  <c r="M105" i="19"/>
  <c r="N105" i="19"/>
  <c r="L73" i="19"/>
  <c r="L74" i="19"/>
  <c r="L13" i="22"/>
  <c r="L93" i="22"/>
  <c r="L80" i="22"/>
  <c r="L54" i="22"/>
  <c r="L53" i="22"/>
  <c r="L75" i="19"/>
  <c r="L76" i="19"/>
  <c r="L14" i="19"/>
  <c r="L22" i="19" s="1"/>
  <c r="L24" i="19" s="1"/>
  <c r="L38" i="32"/>
  <c r="N57" i="32"/>
  <c r="N58" i="32" s="1"/>
  <c r="N59" i="32" s="1"/>
  <c r="O47" i="32"/>
  <c r="O49" i="32" s="1"/>
  <c r="Q38" i="32"/>
  <c r="N38" i="32"/>
  <c r="M38" i="32"/>
  <c r="F71" i="17"/>
  <c r="F72" i="17" s="1"/>
  <c r="G26" i="17" s="1"/>
  <c r="E71" i="17"/>
  <c r="B5" i="33"/>
  <c r="B7" i="33" s="1"/>
  <c r="B9" i="33" s="1"/>
  <c r="C4" i="33"/>
  <c r="D4" i="33" s="1"/>
  <c r="E4" i="33" s="1"/>
  <c r="C8" i="33"/>
  <c r="D8" i="33" s="1"/>
  <c r="E8" i="33" s="1"/>
  <c r="F8" i="33" s="1"/>
  <c r="G8" i="33" s="1"/>
  <c r="H8" i="33" s="1"/>
  <c r="I8" i="33" s="1"/>
  <c r="J8" i="33" s="1"/>
  <c r="K8" i="33" s="1"/>
  <c r="L8" i="33" s="1"/>
  <c r="M8" i="33" s="1"/>
  <c r="N8" i="33" s="1"/>
  <c r="N73" i="19"/>
  <c r="N74" i="19"/>
  <c r="N75" i="19"/>
  <c r="N76" i="19"/>
  <c r="N14" i="19"/>
  <c r="N22" i="19" s="1"/>
  <c r="N24" i="19" s="1"/>
  <c r="N13" i="22"/>
  <c r="E6" i="33"/>
  <c r="F6" i="33" s="1"/>
  <c r="G6" i="33" s="1"/>
  <c r="H6" i="33" s="1"/>
  <c r="I6" i="33"/>
  <c r="J6" i="33" s="1"/>
  <c r="K6" i="33" s="1"/>
  <c r="L6" i="33" s="1"/>
  <c r="M6" i="33" s="1"/>
  <c r="N6" i="33" s="1"/>
  <c r="B28" i="44" s="1"/>
  <c r="N16" i="33"/>
  <c r="N13" i="33"/>
  <c r="N12" i="33"/>
  <c r="O53" i="22"/>
  <c r="O56" i="22" s="1"/>
  <c r="M14" i="19"/>
  <c r="M22" i="19" s="1"/>
  <c r="M24" i="19" s="1"/>
  <c r="M13" i="22"/>
  <c r="P104" i="22"/>
  <c r="P101" i="22"/>
  <c r="L66" i="32"/>
  <c r="L68" i="32" s="1"/>
  <c r="L70" i="32" s="1"/>
  <c r="M66" i="32"/>
  <c r="M68" i="32" s="1"/>
  <c r="M70" i="32" s="1"/>
  <c r="N66" i="32"/>
  <c r="N68" i="32" s="1"/>
  <c r="N70" i="32" s="1"/>
  <c r="O66" i="32"/>
  <c r="O68" i="32" s="1"/>
  <c r="O70" i="32" s="1"/>
  <c r="P66" i="32"/>
  <c r="P68" i="32" s="1"/>
  <c r="P70" i="32" s="1"/>
  <c r="Q66" i="32"/>
  <c r="Q68" i="32" s="1"/>
  <c r="Q70" i="32" s="1"/>
  <c r="L57" i="32"/>
  <c r="L58" i="32" s="1"/>
  <c r="L59" i="32" s="1"/>
  <c r="M57" i="32"/>
  <c r="M58" i="32" s="1"/>
  <c r="M59" i="32" s="1"/>
  <c r="O57" i="32"/>
  <c r="O58" i="32" s="1"/>
  <c r="O59" i="32" s="1"/>
  <c r="P57" i="32"/>
  <c r="P58" i="32" s="1"/>
  <c r="P59" i="32" s="1"/>
  <c r="Q57" i="32"/>
  <c r="Q58" i="32" s="1"/>
  <c r="Q59" i="32" s="1"/>
  <c r="N47" i="32"/>
  <c r="N49" i="32" s="1"/>
  <c r="O69" i="22"/>
  <c r="M93" i="22"/>
  <c r="P93" i="22"/>
  <c r="M54" i="22"/>
  <c r="N38" i="22"/>
  <c r="N41" i="22" s="1"/>
  <c r="O38" i="22"/>
  <c r="P37" i="22"/>
  <c r="P40" i="22" s="1"/>
  <c r="P80" i="22"/>
  <c r="O80" i="22"/>
  <c r="M80" i="22"/>
  <c r="F5" i="17"/>
  <c r="C80" i="17" s="1"/>
  <c r="C102" i="17"/>
  <c r="E58" i="17"/>
  <c r="F47" i="17"/>
  <c r="E59" i="17" s="1"/>
  <c r="F48" i="17"/>
  <c r="E60" i="17"/>
  <c r="F49" i="17"/>
  <c r="E61" i="17" s="1"/>
  <c r="F61" i="17" s="1"/>
  <c r="C58" i="17"/>
  <c r="E49" i="17"/>
  <c r="C61" i="17"/>
  <c r="D62" i="17" s="1"/>
  <c r="E50" i="17"/>
  <c r="C62" i="17" s="1"/>
  <c r="F58" i="17"/>
  <c r="C127" i="17"/>
  <c r="C172" i="17" s="1"/>
  <c r="C126" i="17"/>
  <c r="C171" i="17" s="1"/>
  <c r="C125" i="17"/>
  <c r="C170" i="17" s="1"/>
  <c r="I5" i="17"/>
  <c r="E144" i="17" s="1"/>
  <c r="C78" i="17"/>
  <c r="C119" i="17"/>
  <c r="C164" i="17" s="1"/>
  <c r="C120" i="17"/>
  <c r="C165" i="17"/>
  <c r="C121" i="17"/>
  <c r="C166" i="17" s="1"/>
  <c r="C122" i="17"/>
  <c r="C167" i="17" s="1"/>
  <c r="C123" i="17"/>
  <c r="C168" i="17" s="1"/>
  <c r="C124" i="17"/>
  <c r="C169" i="17" s="1"/>
  <c r="B162" i="17"/>
  <c r="B163" i="17" s="1"/>
  <c r="B164" i="17" s="1"/>
  <c r="B165" i="17"/>
  <c r="B166" i="17" s="1"/>
  <c r="B167" i="17" s="1"/>
  <c r="B168" i="17" s="1"/>
  <c r="B169" i="17"/>
  <c r="B170" i="17" s="1"/>
  <c r="B171" i="17" s="1"/>
  <c r="B172" i="17" s="1"/>
  <c r="B79" i="17"/>
  <c r="C79" i="17"/>
  <c r="B80" i="17"/>
  <c r="B127" i="17"/>
  <c r="B126" i="17"/>
  <c r="B125" i="17"/>
  <c r="B124" i="17"/>
  <c r="B123" i="17"/>
  <c r="B122" i="17"/>
  <c r="B121" i="17"/>
  <c r="B120" i="17"/>
  <c r="B119" i="17"/>
  <c r="B118" i="17"/>
  <c r="B117" i="17"/>
  <c r="B116" i="17"/>
  <c r="E155" i="17"/>
  <c r="I16" i="17"/>
  <c r="A1" i="21"/>
  <c r="O13" i="22"/>
  <c r="M73" i="19"/>
  <c r="M74" i="19"/>
  <c r="M75" i="19"/>
  <c r="M76" i="19"/>
  <c r="O73" i="19"/>
  <c r="O74" i="19"/>
  <c r="O75" i="19"/>
  <c r="O76" i="19"/>
  <c r="F139" i="8"/>
  <c r="G139" i="8" s="1"/>
  <c r="F109" i="8" s="1"/>
  <c r="G141" i="8"/>
  <c r="E111" i="8" s="1"/>
  <c r="G142" i="8"/>
  <c r="E112" i="8"/>
  <c r="G143" i="8"/>
  <c r="E113" i="8" s="1"/>
  <c r="G148" i="8"/>
  <c r="G149" i="8"/>
  <c r="G150" i="8"/>
  <c r="G151" i="8" s="1"/>
  <c r="G152" i="8"/>
  <c r="G153" i="8"/>
  <c r="G154" i="8"/>
  <c r="F124" i="8"/>
  <c r="G124" i="8" s="1"/>
  <c r="F88" i="8"/>
  <c r="F89" i="8" s="1"/>
  <c r="G91" i="8" s="1"/>
  <c r="G93" i="8" s="1"/>
  <c r="G95" i="8" s="1"/>
  <c r="G97" i="8" s="1"/>
  <c r="G100" i="8" s="1"/>
  <c r="F56" i="8" s="1"/>
  <c r="G56" i="8" s="1"/>
  <c r="G94" i="8"/>
  <c r="G96" i="8"/>
  <c r="G99" i="8"/>
  <c r="F53" i="8"/>
  <c r="F54" i="8" s="1"/>
  <c r="F60" i="8"/>
  <c r="F64" i="8"/>
  <c r="G64" i="8" s="1"/>
  <c r="E21" i="8"/>
  <c r="E22" i="8" s="1"/>
  <c r="F32" i="8"/>
  <c r="G32" i="8" s="1"/>
  <c r="D144" i="8"/>
  <c r="E144" i="8"/>
  <c r="F151" i="8"/>
  <c r="F155" i="8" s="1"/>
  <c r="E151" i="8"/>
  <c r="E155" i="8"/>
  <c r="D151" i="8"/>
  <c r="D155" i="8" s="1"/>
  <c r="D157" i="8" s="1"/>
  <c r="D158" i="8" s="1"/>
  <c r="G60" i="8"/>
  <c r="G28" i="8"/>
  <c r="G27" i="8"/>
  <c r="G23" i="8"/>
  <c r="G20" i="8"/>
  <c r="G19" i="8"/>
  <c r="G18" i="8"/>
  <c r="G17" i="8"/>
  <c r="G15" i="8"/>
  <c r="P53" i="22"/>
  <c r="P56" i="22" s="1"/>
  <c r="N54" i="22"/>
  <c r="N80" i="22"/>
  <c r="N93" i="22"/>
  <c r="C6" i="33"/>
  <c r="D43" i="33"/>
  <c r="D24" i="33"/>
  <c r="E43" i="33"/>
  <c r="F43" i="33" s="1"/>
  <c r="G43" i="33" s="1"/>
  <c r="H43" i="33" s="1"/>
  <c r="I43" i="33" s="1"/>
  <c r="J43" i="33" s="1"/>
  <c r="K43" i="33" s="1"/>
  <c r="L43" i="33" s="1"/>
  <c r="M43" i="33" s="1"/>
  <c r="G53" i="8"/>
  <c r="N53" i="22"/>
  <c r="L90" i="21"/>
  <c r="L41" i="22"/>
  <c r="K53" i="22"/>
  <c r="C128" i="17"/>
  <c r="C59" i="17"/>
  <c r="D79" i="17"/>
  <c r="E79" i="17" s="1"/>
  <c r="M53" i="22"/>
  <c r="O76" i="21"/>
  <c r="O22" i="19"/>
  <c r="O24" i="19" s="1"/>
  <c r="D59" i="17"/>
  <c r="B218" i="44" l="1"/>
  <c r="N107" i="21"/>
  <c r="N14" i="21" s="1"/>
  <c r="N78" i="19" s="1"/>
  <c r="N321" i="44"/>
  <c r="N319" i="44" s="1"/>
  <c r="C173" i="17"/>
  <c r="F60" i="17"/>
  <c r="F59" i="17"/>
  <c r="L40" i="21"/>
  <c r="F218" i="44"/>
  <c r="F217" i="44"/>
  <c r="C43" i="21"/>
  <c r="C11" i="21" s="1"/>
  <c r="C289" i="44"/>
  <c r="C282" i="44" s="1"/>
  <c r="C437" i="44" s="1"/>
  <c r="J40" i="21"/>
  <c r="F31" i="19"/>
  <c r="F45" i="19"/>
  <c r="D31" i="19"/>
  <c r="D45" i="19"/>
  <c r="G229" i="44"/>
  <c r="G278" i="44" s="1"/>
  <c r="G281" i="44" s="1"/>
  <c r="G230" i="44"/>
  <c r="M31" i="21"/>
  <c r="O94" i="21"/>
  <c r="F57" i="8"/>
  <c r="L105" i="22"/>
  <c r="L292" i="44"/>
  <c r="L290" i="44" s="1"/>
  <c r="N292" i="44"/>
  <c r="N290" i="44" s="1"/>
  <c r="E37" i="17"/>
  <c r="E39" i="17" s="1"/>
  <c r="J107" i="21"/>
  <c r="J14" i="21" s="1"/>
  <c r="G78" i="19" s="1"/>
  <c r="J321" i="44"/>
  <c r="J319" i="44" s="1"/>
  <c r="B31" i="33"/>
  <c r="B32" i="33" s="1"/>
  <c r="B35" i="33" s="1"/>
  <c r="G31" i="19"/>
  <c r="G45" i="19"/>
  <c r="H163" i="44"/>
  <c r="H162" i="44"/>
  <c r="C217" i="44"/>
  <c r="C218" i="44"/>
  <c r="D217" i="44"/>
  <c r="D218" i="44"/>
  <c r="B217" i="44"/>
  <c r="E230" i="44"/>
  <c r="E278" i="44" s="1"/>
  <c r="E281" i="44" s="1"/>
  <c r="K101" i="21"/>
  <c r="L284" i="44"/>
  <c r="H75" i="21"/>
  <c r="H304" i="44"/>
  <c r="F144" i="8"/>
  <c r="F157" i="8" s="1"/>
  <c r="F158" i="8" s="1"/>
  <c r="G155" i="8"/>
  <c r="F116" i="8" s="1"/>
  <c r="G116" i="8" s="1"/>
  <c r="B85" i="19"/>
  <c r="B14" i="22"/>
  <c r="B15" i="22" s="1"/>
  <c r="B17" i="22" s="1"/>
  <c r="B92" i="21" s="1"/>
  <c r="C29" i="33"/>
  <c r="C31" i="19"/>
  <c r="C45" i="19"/>
  <c r="K90" i="21"/>
  <c r="F113" i="8"/>
  <c r="G113" i="8" s="1"/>
  <c r="K40" i="21"/>
  <c r="M40" i="21"/>
  <c r="J292" i="44"/>
  <c r="J290" i="44" s="1"/>
  <c r="I40" i="21"/>
  <c r="B50" i="33"/>
  <c r="B51" i="33" s="1"/>
  <c r="B54" i="33" s="1"/>
  <c r="E31" i="19"/>
  <c r="E45" i="19"/>
  <c r="E43" i="21"/>
  <c r="E11" i="21" s="1"/>
  <c r="B77" i="19" s="1"/>
  <c r="B79" i="19" s="1"/>
  <c r="B59" i="19" s="1"/>
  <c r="E289" i="44"/>
  <c r="E282" i="44" s="1"/>
  <c r="E437" i="44" s="1"/>
  <c r="H290" i="44"/>
  <c r="D43" i="21"/>
  <c r="D11" i="21" s="1"/>
  <c r="D289" i="44"/>
  <c r="D282" i="44" s="1"/>
  <c r="D437" i="44" s="1"/>
  <c r="C5" i="33"/>
  <c r="C7" i="33" s="1"/>
  <c r="C9" i="33" s="1"/>
  <c r="G21" i="8"/>
  <c r="H44" i="32"/>
  <c r="H54" i="32" s="1"/>
  <c r="H63" i="32" s="1"/>
  <c r="K70" i="21"/>
  <c r="K94" i="19" s="1"/>
  <c r="H25" i="19"/>
  <c r="H30" i="19" s="1"/>
  <c r="F4" i="33"/>
  <c r="N43" i="33"/>
  <c r="N44" i="33" s="1"/>
  <c r="N46" i="33" s="1"/>
  <c r="N48" i="33" s="1"/>
  <c r="E24" i="33"/>
  <c r="D25" i="33"/>
  <c r="D27" i="33" s="1"/>
  <c r="D29" i="33" s="1"/>
  <c r="G22" i="8"/>
  <c r="F24" i="8"/>
  <c r="G24" i="8" s="1"/>
  <c r="G11" i="8"/>
  <c r="I44" i="32"/>
  <c r="I54" i="32" s="1"/>
  <c r="I63" i="32" s="1"/>
  <c r="I31" i="32"/>
  <c r="E157" i="8"/>
  <c r="E158" i="8" s="1"/>
  <c r="G144" i="8"/>
  <c r="F37" i="17"/>
  <c r="F39" i="17" s="1"/>
  <c r="F50" i="17"/>
  <c r="E62" i="17" s="1"/>
  <c r="B56" i="33"/>
  <c r="B57" i="33" s="1"/>
  <c r="C53" i="33"/>
  <c r="D5" i="33"/>
  <c r="D7" i="33" s="1"/>
  <c r="D9" i="33" s="1"/>
  <c r="F62" i="17"/>
  <c r="F63" i="17" s="1"/>
  <c r="D61" i="17"/>
  <c r="D63" i="17" s="1"/>
  <c r="O14" i="22"/>
  <c r="O15" i="22" s="1"/>
  <c r="O85" i="19"/>
  <c r="G120" i="8"/>
  <c r="G119" i="8"/>
  <c r="E51" i="17"/>
  <c r="C46" i="33"/>
  <c r="C48" i="33" s="1"/>
  <c r="D44" i="33"/>
  <c r="E146" i="17"/>
  <c r="M105" i="22"/>
  <c r="J105" i="22"/>
  <c r="M14" i="22"/>
  <c r="M85" i="19"/>
  <c r="N14" i="22"/>
  <c r="N15" i="22" s="1"/>
  <c r="N17" i="22" s="1"/>
  <c r="M39" i="21" s="1"/>
  <c r="M289" i="44" s="1"/>
  <c r="N85" i="19"/>
  <c r="L14" i="22"/>
  <c r="L15" i="22" s="1"/>
  <c r="L17" i="22" s="1"/>
  <c r="L85" i="19"/>
  <c r="J41" i="22"/>
  <c r="J90" i="21"/>
  <c r="K105" i="22"/>
  <c r="J14" i="22"/>
  <c r="J15" i="22" s="1"/>
  <c r="J85" i="19"/>
  <c r="I14" i="22"/>
  <c r="I15" i="22" s="1"/>
  <c r="I17" i="22" s="1"/>
  <c r="I92" i="21" s="1"/>
  <c r="I85" i="19"/>
  <c r="H14" i="22"/>
  <c r="H15" i="22" s="1"/>
  <c r="H17" i="22" s="1"/>
  <c r="I12" i="21"/>
  <c r="I94" i="19"/>
  <c r="H12" i="21"/>
  <c r="H94" i="19"/>
  <c r="M50" i="32"/>
  <c r="L18" i="32"/>
  <c r="N18" i="32"/>
  <c r="N40" i="32" s="1"/>
  <c r="O50" i="32"/>
  <c r="J18" i="32"/>
  <c r="K50" i="32"/>
  <c r="N50" i="32"/>
  <c r="M18" i="32"/>
  <c r="M40" i="32" s="1"/>
  <c r="I18" i="32"/>
  <c r="J50" i="32"/>
  <c r="L50" i="32"/>
  <c r="K18" i="32"/>
  <c r="Q50" i="32"/>
  <c r="Q18" i="32"/>
  <c r="H18" i="32"/>
  <c r="I50" i="32"/>
  <c r="H26" i="19"/>
  <c r="M15" i="22"/>
  <c r="M17" i="22" s="1"/>
  <c r="M92" i="21" s="1"/>
  <c r="I25" i="19"/>
  <c r="K14" i="22"/>
  <c r="K15" i="22" s="1"/>
  <c r="K17" i="22" s="1"/>
  <c r="K92" i="21" s="1"/>
  <c r="K25" i="19"/>
  <c r="K30" i="19" s="1"/>
  <c r="P64" i="22"/>
  <c r="P69" i="22" s="1"/>
  <c r="N70" i="21"/>
  <c r="N94" i="19" s="1"/>
  <c r="J70" i="21"/>
  <c r="M41" i="22"/>
  <c r="O40" i="22"/>
  <c r="L16" i="22"/>
  <c r="N31" i="21"/>
  <c r="M70" i="21"/>
  <c r="M94" i="19" s="1"/>
  <c r="L70" i="21"/>
  <c r="L94" i="19" s="1"/>
  <c r="O96" i="21"/>
  <c r="O93" i="19" s="1"/>
  <c r="K12" i="21"/>
  <c r="H17" i="17"/>
  <c r="N25" i="19"/>
  <c r="L25" i="19"/>
  <c r="M25" i="19"/>
  <c r="I17" i="17"/>
  <c r="I18" i="17" s="1"/>
  <c r="O49" i="21"/>
  <c r="O70" i="21" s="1"/>
  <c r="O94" i="19" s="1"/>
  <c r="O25" i="19"/>
  <c r="G6" i="17"/>
  <c r="B81" i="17" s="1"/>
  <c r="H16" i="17"/>
  <c r="P7" i="32"/>
  <c r="P13" i="32"/>
  <c r="P15" i="32" s="1"/>
  <c r="P32" i="32" s="1"/>
  <c r="P27" i="32"/>
  <c r="Q11" i="32"/>
  <c r="E22" i="17"/>
  <c r="E107" i="17" s="1"/>
  <c r="E109" i="17" s="1"/>
  <c r="J25" i="19"/>
  <c r="B25" i="19"/>
  <c r="H31" i="19"/>
  <c r="H45" i="19"/>
  <c r="H5" i="21" s="1"/>
  <c r="A1" i="17"/>
  <c r="A56" i="19" s="1"/>
  <c r="D81" i="17"/>
  <c r="D80" i="17"/>
  <c r="E80" i="17" s="1"/>
  <c r="J75" i="21" l="1"/>
  <c r="J304" i="44"/>
  <c r="H217" i="44"/>
  <c r="H218" i="44"/>
  <c r="C34" i="33"/>
  <c r="B37" i="33"/>
  <c r="B38" i="33" s="1"/>
  <c r="D5" i="21"/>
  <c r="D10" i="21" s="1"/>
  <c r="D53" i="19"/>
  <c r="D54" i="19" s="1"/>
  <c r="D52" i="19"/>
  <c r="F230" i="44"/>
  <c r="F229" i="44"/>
  <c r="F278" i="44" s="1"/>
  <c r="F281" i="44" s="1"/>
  <c r="B230" i="44"/>
  <c r="B229" i="44"/>
  <c r="M101" i="21"/>
  <c r="N284" i="44"/>
  <c r="N282" i="44" s="1"/>
  <c r="N437" i="44" s="1"/>
  <c r="M75" i="21"/>
  <c r="M304" i="44"/>
  <c r="F40" i="17"/>
  <c r="G23" i="17" s="1"/>
  <c r="B104" i="19"/>
  <c r="B106" i="19" s="1"/>
  <c r="B4" i="32"/>
  <c r="K107" i="21"/>
  <c r="K14" i="21" s="1"/>
  <c r="K321" i="44"/>
  <c r="K319" i="44" s="1"/>
  <c r="D229" i="44"/>
  <c r="D230" i="44"/>
  <c r="L101" i="21"/>
  <c r="M284" i="44"/>
  <c r="M282" i="44" s="1"/>
  <c r="F114" i="8"/>
  <c r="K75" i="21"/>
  <c r="K304" i="44"/>
  <c r="C229" i="44"/>
  <c r="C230" i="44"/>
  <c r="F61" i="8"/>
  <c r="G57" i="8"/>
  <c r="H92" i="21"/>
  <c r="G39" i="21"/>
  <c r="G157" i="8"/>
  <c r="G158" i="8" s="1"/>
  <c r="E5" i="21"/>
  <c r="E10" i="21" s="1"/>
  <c r="E53" i="19"/>
  <c r="E54" i="19" s="1"/>
  <c r="E52" i="19"/>
  <c r="C5" i="21"/>
  <c r="C10" i="21" s="1"/>
  <c r="C52" i="19"/>
  <c r="C53" i="19"/>
  <c r="C54" i="19" s="1"/>
  <c r="G5" i="21"/>
  <c r="G10" i="21" s="1"/>
  <c r="G53" i="19"/>
  <c r="G54" i="19" s="1"/>
  <c r="G52" i="19"/>
  <c r="L75" i="21"/>
  <c r="L304" i="44"/>
  <c r="F5" i="21"/>
  <c r="F10" i="21" s="1"/>
  <c r="F53" i="19"/>
  <c r="F54" i="19" s="1"/>
  <c r="F52" i="19"/>
  <c r="B11" i="21"/>
  <c r="H39" i="21"/>
  <c r="H289" i="44" s="1"/>
  <c r="H282" i="44" s="1"/>
  <c r="H437" i="44" s="1"/>
  <c r="F64" i="17"/>
  <c r="G25" i="17" s="1"/>
  <c r="G4" i="33"/>
  <c r="N100" i="19"/>
  <c r="F51" i="17"/>
  <c r="F52" i="17" s="1"/>
  <c r="G24" i="17" s="1"/>
  <c r="J12" i="21"/>
  <c r="J94" i="19"/>
  <c r="E44" i="33"/>
  <c r="D46" i="33"/>
  <c r="D48" i="33" s="1"/>
  <c r="G12" i="8"/>
  <c r="F25" i="8"/>
  <c r="F24" i="33"/>
  <c r="E25" i="33"/>
  <c r="E27" i="33" s="1"/>
  <c r="E29" i="33" s="1"/>
  <c r="E5" i="33"/>
  <c r="E7" i="33" s="1"/>
  <c r="E9" i="33" s="1"/>
  <c r="P34" i="32"/>
  <c r="O26" i="32"/>
  <c r="O12" i="21"/>
  <c r="N12" i="21"/>
  <c r="K26" i="19"/>
  <c r="N92" i="21"/>
  <c r="N318" i="44" s="1"/>
  <c r="I26" i="19"/>
  <c r="I30" i="19"/>
  <c r="H52" i="19"/>
  <c r="H53" i="19"/>
  <c r="E110" i="17"/>
  <c r="P68" i="22"/>
  <c r="P70" i="22" s="1"/>
  <c r="E81" i="17"/>
  <c r="E82" i="17" s="1"/>
  <c r="E84" i="17" s="1"/>
  <c r="H18" i="17"/>
  <c r="J17" i="22"/>
  <c r="I39" i="21" s="1"/>
  <c r="I289" i="44" s="1"/>
  <c r="I282" i="44" s="1"/>
  <c r="I437" i="44" s="1"/>
  <c r="M12" i="21"/>
  <c r="O13" i="21"/>
  <c r="J39" i="21"/>
  <c r="J289" i="44" s="1"/>
  <c r="J282" i="44" s="1"/>
  <c r="J437" i="44" s="1"/>
  <c r="O95" i="19"/>
  <c r="O60" i="19" s="1"/>
  <c r="O5" i="32" s="1"/>
  <c r="L12" i="21"/>
  <c r="O30" i="19"/>
  <c r="O26" i="19"/>
  <c r="M26" i="19"/>
  <c r="M30" i="19"/>
  <c r="N26" i="19"/>
  <c r="N30" i="19"/>
  <c r="L39" i="21"/>
  <c r="L289" i="44" s="1"/>
  <c r="L282" i="44" s="1"/>
  <c r="P17" i="32"/>
  <c r="P35" i="32" s="1"/>
  <c r="K31" i="19"/>
  <c r="K45" i="19"/>
  <c r="K5" i="21" s="1"/>
  <c r="L26" i="19"/>
  <c r="L30" i="19"/>
  <c r="E142" i="17"/>
  <c r="E151" i="17" s="1"/>
  <c r="E154" i="17" s="1"/>
  <c r="Q13" i="32"/>
  <c r="Q15" i="32" s="1"/>
  <c r="Q27" i="32"/>
  <c r="B26" i="19"/>
  <c r="B30" i="19"/>
  <c r="J30" i="19"/>
  <c r="J26" i="19"/>
  <c r="L92" i="21"/>
  <c r="K39" i="21"/>
  <c r="K289" i="44" s="1"/>
  <c r="K282" i="44" s="1"/>
  <c r="D278" i="44" l="1"/>
  <c r="D281" i="44" s="1"/>
  <c r="C278" i="44"/>
  <c r="C281" i="44" s="1"/>
  <c r="K437" i="44"/>
  <c r="E26" i="17"/>
  <c r="E27" i="17" s="1"/>
  <c r="D98" i="17" s="1"/>
  <c r="E124" i="17" s="1"/>
  <c r="L107" i="21"/>
  <c r="L14" i="21" s="1"/>
  <c r="L321" i="44"/>
  <c r="L319" i="44" s="1"/>
  <c r="L437" i="44" s="1"/>
  <c r="J78" i="19"/>
  <c r="K78" i="19"/>
  <c r="H78" i="19"/>
  <c r="B416" i="44"/>
  <c r="B278" i="44"/>
  <c r="B281" i="44" s="1"/>
  <c r="M107" i="21"/>
  <c r="M14" i="21" s="1"/>
  <c r="M78" i="19" s="1"/>
  <c r="M321" i="44"/>
  <c r="M319" i="44" s="1"/>
  <c r="M437" i="44" s="1"/>
  <c r="N36" i="21"/>
  <c r="N9" i="32" s="1"/>
  <c r="N66" i="22" s="1"/>
  <c r="F65" i="8"/>
  <c r="G61" i="8"/>
  <c r="H229" i="44"/>
  <c r="H278" i="44" s="1"/>
  <c r="H281" i="44" s="1"/>
  <c r="H230" i="44"/>
  <c r="G289" i="44"/>
  <c r="G282" i="44" s="1"/>
  <c r="G437" i="44" s="1"/>
  <c r="G43" i="21"/>
  <c r="G11" i="21" s="1"/>
  <c r="D77" i="19" s="1"/>
  <c r="D79" i="19" s="1"/>
  <c r="D59" i="19" s="1"/>
  <c r="F117" i="8"/>
  <c r="G114" i="8"/>
  <c r="P36" i="32"/>
  <c r="G24" i="33"/>
  <c r="F25" i="33"/>
  <c r="F27" i="33" s="1"/>
  <c r="F29" i="33" s="1"/>
  <c r="G25" i="8"/>
  <c r="F29" i="8"/>
  <c r="H4" i="33"/>
  <c r="F44" i="33"/>
  <c r="E46" i="33"/>
  <c r="E48" i="33" s="1"/>
  <c r="F5" i="33"/>
  <c r="F7" i="33" s="1"/>
  <c r="F9" i="33" s="1"/>
  <c r="Q34" i="32"/>
  <c r="P26" i="32"/>
  <c r="P19" i="32"/>
  <c r="I31" i="19"/>
  <c r="I45" i="19"/>
  <c r="I5" i="21" s="1"/>
  <c r="H6" i="21"/>
  <c r="H10" i="21" s="1"/>
  <c r="H54" i="19"/>
  <c r="K52" i="19"/>
  <c r="K53" i="19"/>
  <c r="K6" i="21" s="1"/>
  <c r="D94" i="17"/>
  <c r="E120" i="17" s="1"/>
  <c r="J92" i="21"/>
  <c r="M45" i="19"/>
  <c r="M5" i="21" s="1"/>
  <c r="M31" i="19"/>
  <c r="N31" i="19"/>
  <c r="N45" i="19"/>
  <c r="N5" i="21" s="1"/>
  <c r="D93" i="17"/>
  <c r="E119" i="17" s="1"/>
  <c r="L45" i="19"/>
  <c r="L5" i="21" s="1"/>
  <c r="L31" i="19"/>
  <c r="O31" i="19"/>
  <c r="O45" i="19"/>
  <c r="O5" i="21" s="1"/>
  <c r="D100" i="17"/>
  <c r="E126" i="17" s="1"/>
  <c r="D90" i="17"/>
  <c r="N99" i="19" s="1"/>
  <c r="Q32" i="32"/>
  <c r="Q17" i="32"/>
  <c r="B45" i="19"/>
  <c r="B31" i="19"/>
  <c r="J45" i="19"/>
  <c r="J5" i="21" s="1"/>
  <c r="J31" i="19"/>
  <c r="D104" i="19" l="1"/>
  <c r="D106" i="19" s="1"/>
  <c r="D4" i="32"/>
  <c r="D92" i="17"/>
  <c r="E118" i="17" s="1"/>
  <c r="E69" i="8"/>
  <c r="E68" i="8"/>
  <c r="G65" i="8"/>
  <c r="E67" i="8"/>
  <c r="E66" i="8"/>
  <c r="F69" i="8" s="1"/>
  <c r="D96" i="17"/>
  <c r="E122" i="17" s="1"/>
  <c r="D91" i="17"/>
  <c r="E117" i="17" s="1"/>
  <c r="D97" i="17"/>
  <c r="E123" i="17" s="1"/>
  <c r="D99" i="17"/>
  <c r="E125" i="17" s="1"/>
  <c r="D101" i="17"/>
  <c r="E127" i="17" s="1"/>
  <c r="F107" i="17"/>
  <c r="F108" i="17" s="1"/>
  <c r="D27" i="17"/>
  <c r="D95" i="17"/>
  <c r="E121" i="17" s="1"/>
  <c r="F125" i="8"/>
  <c r="G117" i="8"/>
  <c r="F121" i="8"/>
  <c r="G121" i="8" s="1"/>
  <c r="I78" i="19"/>
  <c r="L78" i="19"/>
  <c r="F46" i="33"/>
  <c r="F48" i="33" s="1"/>
  <c r="G44" i="33"/>
  <c r="H24" i="33"/>
  <c r="G25" i="33"/>
  <c r="G27" i="33" s="1"/>
  <c r="G29" i="33" s="1"/>
  <c r="G5" i="33"/>
  <c r="G7" i="33" s="1"/>
  <c r="G9" i="33" s="1"/>
  <c r="G29" i="8"/>
  <c r="F33" i="8"/>
  <c r="E34" i="8" s="1"/>
  <c r="I4" i="33"/>
  <c r="E116" i="17"/>
  <c r="E134" i="17" s="1"/>
  <c r="I52" i="19"/>
  <c r="I53" i="19"/>
  <c r="K10" i="21"/>
  <c r="K54" i="19"/>
  <c r="L52" i="19"/>
  <c r="L53" i="19"/>
  <c r="L54" i="19" s="1"/>
  <c r="O52" i="19"/>
  <c r="O53" i="19"/>
  <c r="J52" i="19"/>
  <c r="J53" i="19"/>
  <c r="J6" i="21" s="1"/>
  <c r="N52" i="19"/>
  <c r="N53" i="19"/>
  <c r="M52" i="19"/>
  <c r="M53" i="19"/>
  <c r="M54" i="19" s="1"/>
  <c r="B52" i="19"/>
  <c r="B53" i="19"/>
  <c r="B5" i="21" s="1"/>
  <c r="F142" i="17"/>
  <c r="F151" i="17" s="1"/>
  <c r="F153" i="17" s="1"/>
  <c r="D173" i="17" s="1"/>
  <c r="D164" i="17" s="1"/>
  <c r="K8" i="32" s="1"/>
  <c r="K35" i="21" s="1"/>
  <c r="Q35" i="32"/>
  <c r="Q36" i="32" s="1"/>
  <c r="Q39" i="32" s="1"/>
  <c r="Q41" i="32" s="1"/>
  <c r="P37" i="32" s="1"/>
  <c r="P39" i="32" s="1"/>
  <c r="P41" i="32" s="1"/>
  <c r="O37" i="32" s="1"/>
  <c r="Q19" i="32"/>
  <c r="D128" i="17"/>
  <c r="F143" i="17"/>
  <c r="F152" i="17" s="1"/>
  <c r="F110" i="17"/>
  <c r="E128" i="17"/>
  <c r="E129" i="17"/>
  <c r="D162" i="17"/>
  <c r="F70" i="8" l="1"/>
  <c r="G69" i="8"/>
  <c r="D102" i="17"/>
  <c r="G125" i="8"/>
  <c r="E127" i="8"/>
  <c r="E126" i="8"/>
  <c r="E128" i="8"/>
  <c r="E129" i="8"/>
  <c r="B275" i="44"/>
  <c r="H5" i="33"/>
  <c r="H7" i="33" s="1"/>
  <c r="H9" i="33" s="1"/>
  <c r="D168" i="17"/>
  <c r="D167" i="17"/>
  <c r="H8" i="32" s="1"/>
  <c r="H35" i="21" s="1"/>
  <c r="H99" i="19" s="1"/>
  <c r="D170" i="17"/>
  <c r="H44" i="33"/>
  <c r="G46" i="33"/>
  <c r="G48" i="33" s="1"/>
  <c r="J4" i="33"/>
  <c r="E37" i="8"/>
  <c r="E35" i="8"/>
  <c r="G33" i="8"/>
  <c r="E36" i="8"/>
  <c r="D172" i="17"/>
  <c r="I24" i="33"/>
  <c r="H25" i="33"/>
  <c r="H27" i="33" s="1"/>
  <c r="H29" i="33" s="1"/>
  <c r="H43" i="21"/>
  <c r="H11" i="21" s="1"/>
  <c r="E77" i="19" s="1"/>
  <c r="E79" i="19" s="1"/>
  <c r="E59" i="19" s="1"/>
  <c r="K99" i="19"/>
  <c r="K43" i="21"/>
  <c r="K11" i="21" s="1"/>
  <c r="D165" i="17"/>
  <c r="J8" i="32" s="1"/>
  <c r="I54" i="19"/>
  <c r="I6" i="21"/>
  <c r="N54" i="19"/>
  <c r="L6" i="21"/>
  <c r="O6" i="21"/>
  <c r="O10" i="21" s="1"/>
  <c r="M6" i="21"/>
  <c r="L10" i="21"/>
  <c r="J54" i="19"/>
  <c r="B54" i="19"/>
  <c r="B6" i="21"/>
  <c r="J10" i="21" s="1"/>
  <c r="O54" i="19"/>
  <c r="N6" i="21"/>
  <c r="N10" i="21" s="1"/>
  <c r="D161" i="17"/>
  <c r="E175" i="17" s="1"/>
  <c r="D171" i="17"/>
  <c r="D166" i="17"/>
  <c r="I8" i="32" s="1"/>
  <c r="D163" i="17"/>
  <c r="E176" i="17" s="1"/>
  <c r="D169" i="17"/>
  <c r="D118" i="17"/>
  <c r="D125" i="17"/>
  <c r="D122" i="17"/>
  <c r="D116" i="17"/>
  <c r="E130" i="17" s="1"/>
  <c r="E131" i="17" s="1"/>
  <c r="D127" i="17"/>
  <c r="D117" i="17"/>
  <c r="D121" i="17"/>
  <c r="D123" i="17"/>
  <c r="D126" i="17"/>
  <c r="D120" i="17"/>
  <c r="D119" i="17"/>
  <c r="D124" i="17"/>
  <c r="E173" i="17"/>
  <c r="F155" i="17"/>
  <c r="F129" i="8" l="1"/>
  <c r="I5" i="33"/>
  <c r="I7" i="33" s="1"/>
  <c r="I9" i="33" s="1"/>
  <c r="G70" i="8"/>
  <c r="B10" i="21"/>
  <c r="F37" i="8"/>
  <c r="G37" i="8" s="1"/>
  <c r="E104" i="19"/>
  <c r="E106" i="19" s="1"/>
  <c r="E4" i="32"/>
  <c r="H65" i="22"/>
  <c r="I25" i="33"/>
  <c r="I27" i="33" s="1"/>
  <c r="I29" i="33" s="1"/>
  <c r="J24" i="33"/>
  <c r="K4" i="33"/>
  <c r="I44" i="33"/>
  <c r="H46" i="33"/>
  <c r="H48" i="33" s="1"/>
  <c r="H77" i="19"/>
  <c r="H79" i="19" s="1"/>
  <c r="H59" i="19" s="1"/>
  <c r="J77" i="19"/>
  <c r="J79" i="19" s="1"/>
  <c r="J59" i="19" s="1"/>
  <c r="K77" i="19"/>
  <c r="K79" i="19" s="1"/>
  <c r="K59" i="19" s="1"/>
  <c r="I65" i="22"/>
  <c r="I35" i="21"/>
  <c r="J65" i="22"/>
  <c r="J35" i="21"/>
  <c r="I10" i="21"/>
  <c r="M10" i="21"/>
  <c r="E180" i="17"/>
  <c r="E163" i="17"/>
  <c r="E169" i="17"/>
  <c r="E167" i="17"/>
  <c r="E161" i="17"/>
  <c r="N8" i="32" s="1"/>
  <c r="E171" i="17"/>
  <c r="E165" i="17"/>
  <c r="E166" i="17"/>
  <c r="E162" i="17"/>
  <c r="M8" i="32" s="1"/>
  <c r="E170" i="17"/>
  <c r="E168" i="17"/>
  <c r="E174" i="17"/>
  <c r="E177" i="17" s="1"/>
  <c r="E164" i="17"/>
  <c r="E172" i="17"/>
  <c r="E136" i="17"/>
  <c r="E137" i="17" s="1"/>
  <c r="E138" i="17" s="1"/>
  <c r="M99" i="19"/>
  <c r="K65" i="22"/>
  <c r="E135" i="17"/>
  <c r="J5" i="33" l="1"/>
  <c r="J7" i="33" s="1"/>
  <c r="J9" i="33" s="1"/>
  <c r="G129" i="8"/>
  <c r="F130" i="8"/>
  <c r="F38" i="8"/>
  <c r="G38" i="8" s="1"/>
  <c r="E178" i="17"/>
  <c r="L8" i="32"/>
  <c r="I46" i="33"/>
  <c r="I48" i="33" s="1"/>
  <c r="J44" i="33"/>
  <c r="K24" i="33"/>
  <c r="J25" i="33"/>
  <c r="J27" i="33" s="1"/>
  <c r="J29" i="33" s="1"/>
  <c r="L4" i="33"/>
  <c r="K5" i="33"/>
  <c r="K7" i="33" s="1"/>
  <c r="K9" i="33" s="1"/>
  <c r="K11" i="33" s="1"/>
  <c r="K12" i="33" s="1"/>
  <c r="K104" i="19"/>
  <c r="K106" i="19" s="1"/>
  <c r="J99" i="19"/>
  <c r="J43" i="21"/>
  <c r="J11" i="21" s="1"/>
  <c r="G77" i="19" s="1"/>
  <c r="G79" i="19" s="1"/>
  <c r="G59" i="19" s="1"/>
  <c r="J104" i="19"/>
  <c r="J106" i="19" s="1"/>
  <c r="H104" i="19"/>
  <c r="H106" i="19" s="1"/>
  <c r="H4" i="32"/>
  <c r="K4" i="32"/>
  <c r="I99" i="19"/>
  <c r="I43" i="21"/>
  <c r="I11" i="21" s="1"/>
  <c r="F77" i="19" s="1"/>
  <c r="F79" i="19" s="1"/>
  <c r="F59" i="19" s="1"/>
  <c r="N101" i="19"/>
  <c r="N37" i="21"/>
  <c r="D49" i="33"/>
  <c r="D50" i="33" s="1"/>
  <c r="D51" i="33" s="1"/>
  <c r="F49" i="33"/>
  <c r="F50" i="33" s="1"/>
  <c r="F51" i="33" s="1"/>
  <c r="L30" i="33"/>
  <c r="B11" i="33"/>
  <c r="B12" i="33" s="1"/>
  <c r="B15" i="33" s="1"/>
  <c r="H49" i="33"/>
  <c r="H50" i="33" s="1"/>
  <c r="H51" i="33" s="1"/>
  <c r="J49" i="33"/>
  <c r="J11" i="33"/>
  <c r="J12" i="33" s="1"/>
  <c r="I11" i="33"/>
  <c r="I12" i="33" s="1"/>
  <c r="F30" i="33"/>
  <c r="F31" i="33" s="1"/>
  <c r="F32" i="33" s="1"/>
  <c r="M49" i="33"/>
  <c r="H30" i="33"/>
  <c r="H31" i="33" s="1"/>
  <c r="H32" i="33" s="1"/>
  <c r="M30" i="33"/>
  <c r="E11" i="33"/>
  <c r="E12" i="33" s="1"/>
  <c r="E30" i="33"/>
  <c r="E31" i="33" s="1"/>
  <c r="E32" i="33" s="1"/>
  <c r="I30" i="33"/>
  <c r="I31" i="33" s="1"/>
  <c r="I32" i="33" s="1"/>
  <c r="G30" i="33"/>
  <c r="G31" i="33" s="1"/>
  <c r="G32" i="33" s="1"/>
  <c r="C30" i="33"/>
  <c r="C31" i="33" s="1"/>
  <c r="C32" i="33" s="1"/>
  <c r="C35" i="33" s="1"/>
  <c r="I49" i="33"/>
  <c r="I50" i="33" s="1"/>
  <c r="I51" i="33" s="1"/>
  <c r="G49" i="33"/>
  <c r="G50" i="33" s="1"/>
  <c r="G51" i="33" s="1"/>
  <c r="C49" i="33"/>
  <c r="C50" i="33" s="1"/>
  <c r="C51" i="33" s="1"/>
  <c r="C54" i="33" s="1"/>
  <c r="H11" i="33"/>
  <c r="H12" i="33" s="1"/>
  <c r="F11" i="33"/>
  <c r="F12" i="33" s="1"/>
  <c r="D11" i="33"/>
  <c r="D12" i="33" s="1"/>
  <c r="E49" i="33"/>
  <c r="E50" i="33" s="1"/>
  <c r="E51" i="33" s="1"/>
  <c r="C11" i="33"/>
  <c r="C12" i="33" s="1"/>
  <c r="J30" i="33"/>
  <c r="J31" i="33" s="1"/>
  <c r="J32" i="33" s="1"/>
  <c r="D30" i="33"/>
  <c r="D31" i="33" s="1"/>
  <c r="D32" i="33" s="1"/>
  <c r="L49" i="33"/>
  <c r="G11" i="33"/>
  <c r="G12" i="33" s="1"/>
  <c r="K49" i="33"/>
  <c r="K30" i="33"/>
  <c r="E179" i="17"/>
  <c r="L37" i="21" s="1"/>
  <c r="E181" i="17"/>
  <c r="E182" i="17" s="1"/>
  <c r="J4" i="32"/>
  <c r="G130" i="8" l="1"/>
  <c r="A131" i="8"/>
  <c r="F71" i="8"/>
  <c r="G104" i="19"/>
  <c r="G106" i="19" s="1"/>
  <c r="G4" i="32"/>
  <c r="F104" i="19"/>
  <c r="F106" i="19" s="1"/>
  <c r="F4" i="32"/>
  <c r="K25" i="33"/>
  <c r="K27" i="33" s="1"/>
  <c r="K29" i="33" s="1"/>
  <c r="K31" i="33" s="1"/>
  <c r="K32" i="33" s="1"/>
  <c r="L24" i="33"/>
  <c r="L5" i="33"/>
  <c r="L7" i="33" s="1"/>
  <c r="L9" i="33" s="1"/>
  <c r="L11" i="33" s="1"/>
  <c r="L12" i="33" s="1"/>
  <c r="M4" i="33"/>
  <c r="J46" i="33"/>
  <c r="J48" i="33" s="1"/>
  <c r="J50" i="33" s="1"/>
  <c r="J51" i="33" s="1"/>
  <c r="K44" i="33"/>
  <c r="D53" i="33"/>
  <c r="D54" i="33" s="1"/>
  <c r="D56" i="33" s="1"/>
  <c r="C56" i="33"/>
  <c r="C57" i="33" s="1"/>
  <c r="C37" i="33"/>
  <c r="C38" i="33" s="1"/>
  <c r="D34" i="33"/>
  <c r="D35" i="33" s="1"/>
  <c r="D37" i="33" s="1"/>
  <c r="B17" i="33"/>
  <c r="B18" i="33" s="1"/>
  <c r="C14" i="33"/>
  <c r="C15" i="33" s="1"/>
  <c r="C17" i="33" s="1"/>
  <c r="N10" i="32"/>
  <c r="L10" i="32"/>
  <c r="L101" i="19"/>
  <c r="M5" i="33" l="1"/>
  <c r="M7" i="33" s="1"/>
  <c r="M9" i="33" s="1"/>
  <c r="M11" i="33" s="1"/>
  <c r="M12" i="33" s="1"/>
  <c r="N4" i="33"/>
  <c r="M24" i="33"/>
  <c r="L25" i="33"/>
  <c r="L27" i="33" s="1"/>
  <c r="L29" i="33" s="1"/>
  <c r="L31" i="33" s="1"/>
  <c r="L32" i="33" s="1"/>
  <c r="L44" i="33"/>
  <c r="K46" i="33"/>
  <c r="K48" i="33" s="1"/>
  <c r="K50" i="33" s="1"/>
  <c r="K51" i="33" s="1"/>
  <c r="C18" i="33"/>
  <c r="D38" i="33"/>
  <c r="L67" i="22"/>
  <c r="N67" i="22"/>
  <c r="D14" i="33"/>
  <c r="D57" i="33"/>
  <c r="E34" i="33"/>
  <c r="E53" i="33"/>
  <c r="M25" i="33" l="1"/>
  <c r="M27" i="33" s="1"/>
  <c r="M29" i="33" s="1"/>
  <c r="M31" i="33" s="1"/>
  <c r="M32" i="33" s="1"/>
  <c r="N5" i="33"/>
  <c r="N7" i="33" s="1"/>
  <c r="N9" i="33" s="1"/>
  <c r="M44" i="33"/>
  <c r="M46" i="33" s="1"/>
  <c r="M48" i="33" s="1"/>
  <c r="M50" i="33" s="1"/>
  <c r="M51" i="33" s="1"/>
  <c r="L46" i="33"/>
  <c r="L48" i="33" s="1"/>
  <c r="L50" i="33" s="1"/>
  <c r="L51" i="33" s="1"/>
  <c r="N24" i="33"/>
  <c r="N25" i="33" s="1"/>
  <c r="N27" i="33" s="1"/>
  <c r="N29" i="33" s="1"/>
  <c r="E54" i="33"/>
  <c r="E35" i="33"/>
  <c r="F34" i="33" s="1"/>
  <c r="D15" i="33"/>
  <c r="E14" i="33" l="1"/>
  <c r="F35" i="33"/>
  <c r="F37" i="33" s="1"/>
  <c r="E56" i="33"/>
  <c r="E57" i="33" s="1"/>
  <c r="D17" i="33"/>
  <c r="D18" i="33" s="1"/>
  <c r="F53" i="33"/>
  <c r="E37" i="33"/>
  <c r="E38" i="33" s="1"/>
  <c r="E15" i="33"/>
  <c r="E17" i="33" s="1"/>
  <c r="F14" i="33" l="1"/>
  <c r="F15" i="33" s="1"/>
  <c r="F38" i="33"/>
  <c r="F54" i="33"/>
  <c r="E18" i="33"/>
  <c r="G34" i="33"/>
  <c r="F17" i="33" l="1"/>
  <c r="F18" i="33" s="1"/>
  <c r="G35" i="33"/>
  <c r="F56" i="33"/>
  <c r="F57" i="33" s="1"/>
  <c r="G14" i="33"/>
  <c r="G53" i="33"/>
  <c r="G54" i="33" l="1"/>
  <c r="G37" i="33"/>
  <c r="G38" i="33" s="1"/>
  <c r="G15" i="33"/>
  <c r="H34" i="33"/>
  <c r="H35" i="33" l="1"/>
  <c r="G17" i="33"/>
  <c r="G18" i="33" s="1"/>
  <c r="G56" i="33"/>
  <c r="G57" i="33" s="1"/>
  <c r="H14" i="33"/>
  <c r="H53" i="33"/>
  <c r="H54" i="33" l="1"/>
  <c r="I53" i="33" s="1"/>
  <c r="H37" i="33"/>
  <c r="H38" i="33" s="1"/>
  <c r="H15" i="33"/>
  <c r="H17" i="33" s="1"/>
  <c r="H18" i="33" s="1"/>
  <c r="I34" i="33"/>
  <c r="I14" i="33" l="1"/>
  <c r="I15" i="33" s="1"/>
  <c r="I17" i="33" s="1"/>
  <c r="I18" i="33" s="1"/>
  <c r="I54" i="33"/>
  <c r="I56" i="33" s="1"/>
  <c r="I35" i="33"/>
  <c r="I37" i="33" s="1"/>
  <c r="I38" i="33" s="1"/>
  <c r="H56" i="33"/>
  <c r="H57" i="33" s="1"/>
  <c r="J14" i="33" l="1"/>
  <c r="J15" i="33" s="1"/>
  <c r="J17" i="33" s="1"/>
  <c r="J18" i="33" s="1"/>
  <c r="J34" i="33"/>
  <c r="J35" i="33" s="1"/>
  <c r="J37" i="33" s="1"/>
  <c r="J38" i="33" s="1"/>
  <c r="I57" i="33"/>
  <c r="J53" i="33"/>
  <c r="J54" i="33" l="1"/>
  <c r="J56" i="33" s="1"/>
  <c r="J57" i="33" s="1"/>
  <c r="K34" i="33"/>
  <c r="K14" i="33"/>
  <c r="K53" i="33" l="1"/>
  <c r="K15" i="33"/>
  <c r="K17" i="33" s="1"/>
  <c r="K18" i="33" s="1"/>
  <c r="K35" i="33"/>
  <c r="K37" i="33" s="1"/>
  <c r="K38" i="33" s="1"/>
  <c r="L14" i="33" l="1"/>
  <c r="L15" i="33" s="1"/>
  <c r="L17" i="33" s="1"/>
  <c r="L18" i="33" s="1"/>
  <c r="K54" i="33"/>
  <c r="K56" i="33" s="1"/>
  <c r="K57" i="33" s="1"/>
  <c r="L34" i="33"/>
  <c r="L35" i="33" l="1"/>
  <c r="L37" i="33" s="1"/>
  <c r="L38" i="33" s="1"/>
  <c r="L53" i="33"/>
  <c r="M14" i="33"/>
  <c r="M15" i="33" s="1"/>
  <c r="N15" i="33" s="1"/>
  <c r="M34" i="33" l="1"/>
  <c r="M35" i="33" s="1"/>
  <c r="M17" i="33"/>
  <c r="M18" i="33" s="1"/>
  <c r="N17" i="33"/>
  <c r="L54" i="33"/>
  <c r="L56" i="33" s="1"/>
  <c r="L57" i="33" s="1"/>
  <c r="N18" i="33" l="1"/>
  <c r="B459" i="44"/>
  <c r="B23" i="21"/>
  <c r="M37" i="33"/>
  <c r="M38" i="33" s="1"/>
  <c r="N35" i="33"/>
  <c r="N37" i="33" s="1"/>
  <c r="M53" i="33"/>
  <c r="M54" i="33" s="1"/>
  <c r="N38" i="33" l="1"/>
  <c r="C23" i="21"/>
  <c r="M56" i="33"/>
  <c r="M57" i="33" s="1"/>
  <c r="N54" i="33"/>
  <c r="N56" i="33" s="1"/>
  <c r="L65" i="22"/>
  <c r="L35" i="21"/>
  <c r="L43" i="21" s="1"/>
  <c r="L11" i="21" s="1"/>
  <c r="N57" i="33" l="1"/>
  <c r="D23" i="21"/>
  <c r="L77" i="19"/>
  <c r="L79" i="19" s="1"/>
  <c r="L59" i="19" s="1"/>
  <c r="I77" i="19"/>
  <c r="I79" i="19" s="1"/>
  <c r="I59" i="19" s="1"/>
  <c r="L99" i="19"/>
  <c r="I4" i="32" l="1"/>
  <c r="I104" i="19"/>
  <c r="I106" i="19" s="1"/>
  <c r="L104" i="19"/>
  <c r="L106" i="19" s="1"/>
  <c r="L4" i="32"/>
  <c r="M65" i="22" l="1"/>
  <c r="M35" i="21"/>
  <c r="M43" i="21" s="1"/>
  <c r="M11" i="21" s="1"/>
  <c r="M77" i="19" l="1"/>
  <c r="M79" i="19" s="1"/>
  <c r="M59" i="19" s="1"/>
  <c r="M4" i="32" l="1"/>
  <c r="M104" i="19"/>
  <c r="M106" i="19" s="1"/>
  <c r="N65" i="22" l="1"/>
  <c r="N35" i="21"/>
  <c r="N43" i="21" s="1"/>
  <c r="N11" i="21" s="1"/>
  <c r="N77" i="19" l="1"/>
  <c r="N79" i="19" s="1"/>
  <c r="N59" i="19" s="1"/>
  <c r="N104" i="19" l="1"/>
  <c r="N106" i="19" s="1"/>
  <c r="N4" i="32"/>
  <c r="O104" i="22" l="1"/>
  <c r="O106" i="22" s="1"/>
  <c r="O30" i="21" s="1"/>
  <c r="N104" i="22"/>
  <c r="N105" i="22" s="1"/>
  <c r="N75" i="21" l="1"/>
  <c r="N96" i="21" s="1"/>
  <c r="N304" i="44"/>
  <c r="N303" i="44" s="1"/>
  <c r="N13" i="21"/>
  <c r="N93" i="19"/>
  <c r="N95" i="19" s="1"/>
  <c r="N60" i="19" s="1"/>
  <c r="O105" i="19"/>
  <c r="O43" i="21"/>
  <c r="O11" i="21" s="1"/>
  <c r="N438" i="44" l="1"/>
  <c r="N440" i="44" s="1"/>
  <c r="N327" i="44"/>
  <c r="O15" i="21"/>
  <c r="O18" i="21" s="1"/>
  <c r="O20" i="21" s="1"/>
  <c r="O16" i="21"/>
  <c r="O77" i="19"/>
  <c r="O79" i="19" s="1"/>
  <c r="O59" i="19" s="1"/>
  <c r="N61" i="19"/>
  <c r="N5" i="32"/>
  <c r="N6" i="32" s="1"/>
  <c r="N15" i="21"/>
  <c r="N18" i="21" s="1"/>
  <c r="N20" i="21" s="1"/>
  <c r="N16" i="21"/>
  <c r="N443" i="44" l="1"/>
  <c r="N442" i="44"/>
  <c r="N445" i="44" s="1"/>
  <c r="N447" i="44" s="1"/>
  <c r="N452" i="44" s="1"/>
  <c r="N468" i="44" s="1"/>
  <c r="N22" i="21"/>
  <c r="N24" i="21" s="1"/>
  <c r="N64" i="22"/>
  <c r="N7" i="32"/>
  <c r="N11" i="32"/>
  <c r="N64" i="19"/>
  <c r="N66" i="19" s="1"/>
  <c r="N98" i="19"/>
  <c r="N102" i="19" s="1"/>
  <c r="N107" i="19" s="1"/>
  <c r="O61" i="19"/>
  <c r="O104" i="19"/>
  <c r="O106" i="19" s="1"/>
  <c r="O4" i="32"/>
  <c r="O6" i="32" s="1"/>
  <c r="O22" i="21"/>
  <c r="O24" i="21" s="1"/>
  <c r="O7" i="32" l="1"/>
  <c r="O11" i="32"/>
  <c r="N69" i="22"/>
  <c r="N68" i="22"/>
  <c r="N70" i="22" s="1"/>
  <c r="O64" i="19"/>
  <c r="O66" i="19" s="1"/>
  <c r="O98" i="19"/>
  <c r="O102" i="19" s="1"/>
  <c r="O107" i="19" s="1"/>
  <c r="N13" i="32"/>
  <c r="N15" i="32" s="1"/>
  <c r="N27" i="32"/>
  <c r="N32" i="32" l="1"/>
  <c r="N17" i="32"/>
  <c r="N62" i="19"/>
  <c r="O27" i="32"/>
  <c r="O13" i="32"/>
  <c r="O15" i="32" s="1"/>
  <c r="N69" i="19"/>
  <c r="N34" i="32"/>
  <c r="M26" i="32"/>
  <c r="M12" i="32" s="1"/>
  <c r="M93" i="21" s="1"/>
  <c r="M96" i="21" l="1"/>
  <c r="M318" i="44"/>
  <c r="M303" i="44" s="1"/>
  <c r="M13" i="21"/>
  <c r="M93" i="19"/>
  <c r="M95" i="19" s="1"/>
  <c r="M60" i="19" s="1"/>
  <c r="N26" i="32"/>
  <c r="O69" i="19"/>
  <c r="O34" i="32"/>
  <c r="N19" i="32"/>
  <c r="N35" i="32"/>
  <c r="O32" i="32"/>
  <c r="O17" i="32"/>
  <c r="O62" i="19"/>
  <c r="N36" i="32"/>
  <c r="M327" i="44" l="1"/>
  <c r="M438" i="44"/>
  <c r="M440" i="44" s="1"/>
  <c r="M61" i="19"/>
  <c r="M5" i="32"/>
  <c r="M6" i="32" s="1"/>
  <c r="O35" i="32"/>
  <c r="O36" i="32" s="1"/>
  <c r="O39" i="32" s="1"/>
  <c r="O41" i="32" s="1"/>
  <c r="N37" i="32" s="1"/>
  <c r="N39" i="32" s="1"/>
  <c r="N41" i="32" s="1"/>
  <c r="M37" i="32" s="1"/>
  <c r="O19" i="32"/>
  <c r="M15" i="21"/>
  <c r="M18" i="21" s="1"/>
  <c r="M20" i="21" s="1"/>
  <c r="M16" i="21"/>
  <c r="M442" i="44" l="1"/>
  <c r="M445" i="44" s="1"/>
  <c r="M447" i="44" s="1"/>
  <c r="M452" i="44" s="1"/>
  <c r="M468" i="44" s="1"/>
  <c r="M443" i="44"/>
  <c r="M64" i="22"/>
  <c r="M7" i="32"/>
  <c r="M11" i="32"/>
  <c r="M98" i="19"/>
  <c r="M102" i="19" s="1"/>
  <c r="M107" i="19" s="1"/>
  <c r="M64" i="19"/>
  <c r="M66" i="19" s="1"/>
  <c r="M22" i="21"/>
  <c r="M24" i="21" s="1"/>
  <c r="M13" i="32" l="1"/>
  <c r="M15" i="32" s="1"/>
  <c r="M27" i="32"/>
  <c r="M68" i="22"/>
  <c r="M70" i="22" s="1"/>
  <c r="M69" i="22"/>
  <c r="M34" i="32" l="1"/>
  <c r="M69" i="19"/>
  <c r="L26" i="32"/>
  <c r="L12" i="32" s="1"/>
  <c r="L93" i="21" s="1"/>
  <c r="M17" i="32"/>
  <c r="M32" i="32"/>
  <c r="M62" i="19"/>
  <c r="L96" i="21" l="1"/>
  <c r="L318" i="44"/>
  <c r="L303" i="44" s="1"/>
  <c r="M19" i="32"/>
  <c r="M35" i="32"/>
  <c r="M36" i="32" s="1"/>
  <c r="M39" i="32" s="1"/>
  <c r="M41" i="32" s="1"/>
  <c r="L37" i="32" s="1"/>
  <c r="L13" i="21"/>
  <c r="L93" i="19"/>
  <c r="L95" i="19" s="1"/>
  <c r="L60" i="19" s="1"/>
  <c r="L327" i="44" l="1"/>
  <c r="L438" i="44"/>
  <c r="L440" i="44" s="1"/>
  <c r="L61" i="19"/>
  <c r="L5" i="32"/>
  <c r="L6" i="32" s="1"/>
  <c r="L15" i="21"/>
  <c r="L18" i="21" s="1"/>
  <c r="L20" i="21" s="1"/>
  <c r="L16" i="21"/>
  <c r="L443" i="44" l="1"/>
  <c r="L442" i="44"/>
  <c r="L445" i="44" s="1"/>
  <c r="L447" i="44" s="1"/>
  <c r="L452" i="44" s="1"/>
  <c r="L468" i="44" s="1"/>
  <c r="L22" i="21"/>
  <c r="L24" i="21" s="1"/>
  <c r="L7" i="32"/>
  <c r="L64" i="22"/>
  <c r="L11" i="32"/>
  <c r="L64" i="19"/>
  <c r="L66" i="19" s="1"/>
  <c r="L98" i="19"/>
  <c r="L102" i="19" s="1"/>
  <c r="L107" i="19" s="1"/>
  <c r="L68" i="22" l="1"/>
  <c r="L70" i="22" s="1"/>
  <c r="L69" i="22"/>
  <c r="L13" i="32"/>
  <c r="L15" i="32" s="1"/>
  <c r="L27" i="32"/>
  <c r="L34" i="32" l="1"/>
  <c r="L69" i="19"/>
  <c r="K26" i="32"/>
  <c r="K12" i="32" s="1"/>
  <c r="K93" i="21" s="1"/>
  <c r="L32" i="32"/>
  <c r="L17" i="32"/>
  <c r="L62" i="19"/>
  <c r="K96" i="21" l="1"/>
  <c r="K318" i="44"/>
  <c r="K303" i="44" s="1"/>
  <c r="K13" i="21"/>
  <c r="K93" i="19"/>
  <c r="K95" i="19" s="1"/>
  <c r="K60" i="19" s="1"/>
  <c r="L35" i="32"/>
  <c r="L36" i="32" s="1"/>
  <c r="L39" i="32" s="1"/>
  <c r="L41" i="32" s="1"/>
  <c r="K37" i="32" s="1"/>
  <c r="L19" i="32"/>
  <c r="K327" i="44" l="1"/>
  <c r="K438" i="44"/>
  <c r="K440" i="44" s="1"/>
  <c r="K61" i="19"/>
  <c r="K5" i="32"/>
  <c r="K6" i="32" s="1"/>
  <c r="K15" i="21"/>
  <c r="K18" i="21" s="1"/>
  <c r="K20" i="21" s="1"/>
  <c r="K24" i="21" s="1"/>
  <c r="K16" i="21"/>
  <c r="K442" i="44" l="1"/>
  <c r="K445" i="44" s="1"/>
  <c r="K447" i="44" s="1"/>
  <c r="K452" i="44" s="1"/>
  <c r="K468" i="44" s="1"/>
  <c r="K443" i="44"/>
  <c r="K7" i="32"/>
  <c r="K64" i="22"/>
  <c r="K11" i="32"/>
  <c r="K64" i="19"/>
  <c r="K66" i="19" s="1"/>
  <c r="K98" i="19"/>
  <c r="K102" i="19" s="1"/>
  <c r="K107" i="19" s="1"/>
  <c r="K68" i="22" l="1"/>
  <c r="K70" i="22" s="1"/>
  <c r="K69" i="22"/>
  <c r="K13" i="32"/>
  <c r="K15" i="32" s="1"/>
  <c r="K27" i="32"/>
  <c r="K34" i="32" l="1"/>
  <c r="K69" i="19"/>
  <c r="J26" i="32"/>
  <c r="J12" i="32" s="1"/>
  <c r="J93" i="21" s="1"/>
  <c r="K17" i="32"/>
  <c r="K32" i="32"/>
  <c r="K62" i="19"/>
  <c r="J96" i="21" l="1"/>
  <c r="J93" i="19" s="1"/>
  <c r="J95" i="19" s="1"/>
  <c r="J60" i="19" s="1"/>
  <c r="J318" i="44"/>
  <c r="J303" i="44" s="1"/>
  <c r="K19" i="32"/>
  <c r="K35" i="32"/>
  <c r="K36" i="32" s="1"/>
  <c r="K39" i="32" s="1"/>
  <c r="K41" i="32" s="1"/>
  <c r="J37" i="32" s="1"/>
  <c r="J13" i="21" l="1"/>
  <c r="J327" i="44"/>
  <c r="J438" i="44"/>
  <c r="J440" i="44" s="1"/>
  <c r="J61" i="19"/>
  <c r="J5" i="32"/>
  <c r="J6" i="32" s="1"/>
  <c r="J15" i="21"/>
  <c r="J18" i="21" s="1"/>
  <c r="J20" i="21" s="1"/>
  <c r="J24" i="21" s="1"/>
  <c r="J16" i="21"/>
  <c r="J442" i="44" l="1"/>
  <c r="J445" i="44" s="1"/>
  <c r="J447" i="44" s="1"/>
  <c r="J452" i="44" s="1"/>
  <c r="J468" i="44" s="1"/>
  <c r="J443" i="44"/>
  <c r="J64" i="22"/>
  <c r="J7" i="32"/>
  <c r="J11" i="32"/>
  <c r="J98" i="19"/>
  <c r="J102" i="19" s="1"/>
  <c r="J107" i="19" s="1"/>
  <c r="J64" i="19"/>
  <c r="J66" i="19" s="1"/>
  <c r="J13" i="32" l="1"/>
  <c r="J27" i="32"/>
  <c r="J69" i="22"/>
  <c r="J68" i="22"/>
  <c r="J70" i="22" s="1"/>
  <c r="J69" i="19" l="1"/>
  <c r="J34" i="32"/>
  <c r="I26" i="32"/>
  <c r="I12" i="32" s="1"/>
  <c r="I93" i="21" s="1"/>
  <c r="J25" i="21"/>
  <c r="J26" i="21" s="1"/>
  <c r="J15" i="32"/>
  <c r="I96" i="21" l="1"/>
  <c r="I13" i="21" s="1"/>
  <c r="I318" i="44"/>
  <c r="I303" i="44" s="1"/>
  <c r="J32" i="32"/>
  <c r="J17" i="32"/>
  <c r="J62" i="19"/>
  <c r="I93" i="19" l="1"/>
  <c r="I95" i="19" s="1"/>
  <c r="I60" i="19" s="1"/>
  <c r="I61" i="19" s="1"/>
  <c r="I327" i="44"/>
  <c r="I438" i="44"/>
  <c r="I440" i="44" s="1"/>
  <c r="J19" i="32"/>
  <c r="J35" i="32"/>
  <c r="J36" i="32" s="1"/>
  <c r="J39" i="32" s="1"/>
  <c r="J41" i="32" s="1"/>
  <c r="I37" i="32" s="1"/>
  <c r="I16" i="21"/>
  <c r="I15" i="21"/>
  <c r="I18" i="21" s="1"/>
  <c r="I20" i="21" s="1"/>
  <c r="I24" i="21" s="1"/>
  <c r="I5" i="32" l="1"/>
  <c r="I6" i="32" s="1"/>
  <c r="I7" i="32" s="1"/>
  <c r="I442" i="44"/>
  <c r="I445" i="44" s="1"/>
  <c r="I447" i="44" s="1"/>
  <c r="I452" i="44" s="1"/>
  <c r="I468" i="44" s="1"/>
  <c r="I443" i="44"/>
  <c r="I64" i="19"/>
  <c r="I66" i="19" s="1"/>
  <c r="I98" i="19"/>
  <c r="I102" i="19" s="1"/>
  <c r="I107" i="19" s="1"/>
  <c r="I11" i="32" l="1"/>
  <c r="I27" i="32" s="1"/>
  <c r="I64" i="22"/>
  <c r="I13" i="32"/>
  <c r="I69" i="22"/>
  <c r="I68" i="22"/>
  <c r="I70" i="22" s="1"/>
  <c r="I69" i="19" l="1"/>
  <c r="I34" i="32"/>
  <c r="H26" i="32"/>
  <c r="H12" i="32" s="1"/>
  <c r="H93" i="21" s="1"/>
  <c r="I25" i="21"/>
  <c r="I26" i="21" s="1"/>
  <c r="I15" i="32"/>
  <c r="H96" i="21" l="1"/>
  <c r="H13" i="21" s="1"/>
  <c r="H318" i="44"/>
  <c r="H303" i="44" s="1"/>
  <c r="I17" i="32"/>
  <c r="I32" i="32"/>
  <c r="I62" i="19"/>
  <c r="H93" i="19" l="1"/>
  <c r="H95" i="19" s="1"/>
  <c r="H60" i="19" s="1"/>
  <c r="H61" i="19" s="1"/>
  <c r="H327" i="44"/>
  <c r="H438" i="44"/>
  <c r="H440" i="44" s="1"/>
  <c r="I19" i="32"/>
  <c r="I35" i="32"/>
  <c r="I36" i="32" s="1"/>
  <c r="I39" i="32" s="1"/>
  <c r="I41" i="32" s="1"/>
  <c r="H37" i="32" s="1"/>
  <c r="H15" i="21"/>
  <c r="H18" i="21" s="1"/>
  <c r="H20" i="21" s="1"/>
  <c r="H24" i="21" s="1"/>
  <c r="H16" i="21"/>
  <c r="H5" i="32" l="1"/>
  <c r="H6" i="32" s="1"/>
  <c r="H7" i="32" s="1"/>
  <c r="H443" i="44"/>
  <c r="H442" i="44"/>
  <c r="H445" i="44" s="1"/>
  <c r="H447" i="44" s="1"/>
  <c r="H452" i="44" s="1"/>
  <c r="H468" i="44" s="1"/>
  <c r="H64" i="19"/>
  <c r="H66" i="19" s="1"/>
  <c r="H98" i="19"/>
  <c r="H102" i="19" s="1"/>
  <c r="H107" i="19" s="1"/>
  <c r="H11" i="32" l="1"/>
  <c r="H27" i="32" s="1"/>
  <c r="H64" i="22"/>
  <c r="H13" i="32"/>
  <c r="H69" i="22"/>
  <c r="H68" i="22"/>
  <c r="H70" i="22" s="1"/>
  <c r="H34" i="32" l="1"/>
  <c r="H69" i="19"/>
  <c r="G26" i="32"/>
  <c r="G12" i="32" s="1"/>
  <c r="G93" i="21" s="1"/>
  <c r="H15" i="32"/>
  <c r="H25" i="21"/>
  <c r="H26" i="21" s="1"/>
  <c r="G96" i="21" l="1"/>
  <c r="G13" i="21" s="1"/>
  <c r="G318" i="44"/>
  <c r="G303" i="44" s="1"/>
  <c r="H17" i="32"/>
  <c r="H32" i="32"/>
  <c r="H62" i="19"/>
  <c r="G93" i="19" l="1"/>
  <c r="G95" i="19" s="1"/>
  <c r="G60" i="19" s="1"/>
  <c r="G61" i="19" s="1"/>
  <c r="G327" i="44"/>
  <c r="G438" i="44"/>
  <c r="G440" i="44" s="1"/>
  <c r="H35" i="32"/>
  <c r="H36" i="32" s="1"/>
  <c r="H39" i="32" s="1"/>
  <c r="H41" i="32" s="1"/>
  <c r="G37" i="32" s="1"/>
  <c r="H19" i="32"/>
  <c r="G16" i="21"/>
  <c r="G15" i="21"/>
  <c r="G18" i="21" s="1"/>
  <c r="G20" i="21" s="1"/>
  <c r="G24" i="21" s="1"/>
  <c r="G5" i="32" l="1"/>
  <c r="G6" i="32" s="1"/>
  <c r="G7" i="32" s="1"/>
  <c r="G442" i="44"/>
  <c r="G445" i="44" s="1"/>
  <c r="G447" i="44" s="1"/>
  <c r="G452" i="44" s="1"/>
  <c r="G468" i="44" s="1"/>
  <c r="G443" i="44"/>
  <c r="G98" i="19"/>
  <c r="G102" i="19" s="1"/>
  <c r="G107" i="19" s="1"/>
  <c r="G64" i="19"/>
  <c r="G66" i="19" s="1"/>
  <c r="G64" i="22" l="1"/>
  <c r="G68" i="22" s="1"/>
  <c r="G70" i="22" s="1"/>
  <c r="G11" i="32"/>
  <c r="G13" i="32" s="1"/>
  <c r="G69" i="22"/>
  <c r="G27" i="32"/>
  <c r="G34" i="32" l="1"/>
  <c r="G69" i="19"/>
  <c r="F26" i="32"/>
  <c r="F12" i="32" s="1"/>
  <c r="F93" i="21" s="1"/>
  <c r="G25" i="21"/>
  <c r="G26" i="21" s="1"/>
  <c r="G15" i="32"/>
  <c r="F96" i="21" l="1"/>
  <c r="F13" i="21" s="1"/>
  <c r="F318" i="44"/>
  <c r="F303" i="44" s="1"/>
  <c r="G17" i="32"/>
  <c r="G32" i="32"/>
  <c r="G62" i="19"/>
  <c r="F93" i="19" l="1"/>
  <c r="F95" i="19" s="1"/>
  <c r="F60" i="19" s="1"/>
  <c r="F5" i="32" s="1"/>
  <c r="F6" i="32" s="1"/>
  <c r="F327" i="44"/>
  <c r="F438" i="44"/>
  <c r="F440" i="44" s="1"/>
  <c r="G19" i="32"/>
  <c r="G35" i="32"/>
  <c r="G36" i="32" s="1"/>
  <c r="G39" i="32" s="1"/>
  <c r="G41" i="32" s="1"/>
  <c r="F37" i="32" s="1"/>
  <c r="F16" i="21"/>
  <c r="F15" i="21"/>
  <c r="F18" i="21" s="1"/>
  <c r="F20" i="21" s="1"/>
  <c r="F24" i="21" s="1"/>
  <c r="F61" i="19" l="1"/>
  <c r="F442" i="44"/>
  <c r="F445" i="44" s="1"/>
  <c r="F447" i="44" s="1"/>
  <c r="F452" i="44" s="1"/>
  <c r="F468" i="44" s="1"/>
  <c r="F443" i="44"/>
  <c r="F98" i="19"/>
  <c r="F102" i="19" s="1"/>
  <c r="F107" i="19" s="1"/>
  <c r="F64" i="19"/>
  <c r="F66" i="19" s="1"/>
  <c r="F7" i="32"/>
  <c r="F64" i="22"/>
  <c r="F11" i="32"/>
  <c r="F27" i="32" l="1"/>
  <c r="F13" i="32"/>
  <c r="F69" i="22"/>
  <c r="F68" i="22"/>
  <c r="F70" i="22" s="1"/>
  <c r="F15" i="32" l="1"/>
  <c r="F25" i="21"/>
  <c r="F26" i="21" s="1"/>
  <c r="F34" i="32"/>
  <c r="F69" i="19"/>
  <c r="E26" i="32"/>
  <c r="E12" i="32" s="1"/>
  <c r="E93" i="21" s="1"/>
  <c r="E96" i="21" l="1"/>
  <c r="E93" i="19" s="1"/>
  <c r="E95" i="19" s="1"/>
  <c r="E60" i="19" s="1"/>
  <c r="E318" i="44"/>
  <c r="E303" i="44" s="1"/>
  <c r="E13" i="21"/>
  <c r="F32" i="32"/>
  <c r="F17" i="32"/>
  <c r="F62" i="19"/>
  <c r="E327" i="44" l="1"/>
  <c r="E438" i="44"/>
  <c r="E440" i="44" s="1"/>
  <c r="F35" i="32"/>
  <c r="F36" i="32" s="1"/>
  <c r="F39" i="32" s="1"/>
  <c r="F41" i="32" s="1"/>
  <c r="E37" i="32" s="1"/>
  <c r="F19" i="32"/>
  <c r="E61" i="19"/>
  <c r="E5" i="32"/>
  <c r="E6" i="32" s="1"/>
  <c r="E16" i="21"/>
  <c r="E15" i="21"/>
  <c r="E18" i="21" s="1"/>
  <c r="E20" i="21" s="1"/>
  <c r="E24" i="21" s="1"/>
  <c r="E443" i="44" l="1"/>
  <c r="E442" i="44"/>
  <c r="E445" i="44" s="1"/>
  <c r="E447" i="44" s="1"/>
  <c r="E452" i="44" s="1"/>
  <c r="E468" i="44" s="1"/>
  <c r="E64" i="19"/>
  <c r="E66" i="19" s="1"/>
  <c r="E98" i="19"/>
  <c r="E102" i="19" s="1"/>
  <c r="E107" i="19" s="1"/>
  <c r="E7" i="32"/>
  <c r="E11" i="32"/>
  <c r="E64" i="22"/>
  <c r="E69" i="22" l="1"/>
  <c r="E68" i="22"/>
  <c r="E70" i="22" s="1"/>
  <c r="E13" i="32"/>
  <c r="E27" i="32"/>
  <c r="E34" i="32" l="1"/>
  <c r="E69" i="19"/>
  <c r="D26" i="32"/>
  <c r="D12" i="32" s="1"/>
  <c r="D93" i="21" s="1"/>
  <c r="E25" i="21"/>
  <c r="E26" i="21" s="1"/>
  <c r="E15" i="32"/>
  <c r="D96" i="21" l="1"/>
  <c r="D93" i="19" s="1"/>
  <c r="D95" i="19" s="1"/>
  <c r="D60" i="19" s="1"/>
  <c r="D318" i="44"/>
  <c r="D303" i="44" s="1"/>
  <c r="E17" i="32"/>
  <c r="E32" i="32"/>
  <c r="E62" i="19"/>
  <c r="D13" i="21" l="1"/>
  <c r="D327" i="44"/>
  <c r="D438" i="44"/>
  <c r="D440" i="44" s="1"/>
  <c r="E19" i="32"/>
  <c r="E35" i="32"/>
  <c r="E36" i="32" s="1"/>
  <c r="E39" i="32" s="1"/>
  <c r="E41" i="32" s="1"/>
  <c r="D37" i="32" s="1"/>
  <c r="D5" i="32"/>
  <c r="D6" i="32" s="1"/>
  <c r="D61" i="19"/>
  <c r="D16" i="21"/>
  <c r="D15" i="21"/>
  <c r="D18" i="21" s="1"/>
  <c r="D20" i="21" s="1"/>
  <c r="D24" i="21" s="1"/>
  <c r="D443" i="44" l="1"/>
  <c r="D442" i="44"/>
  <c r="D445" i="44" s="1"/>
  <c r="D447" i="44" s="1"/>
  <c r="D452" i="44" s="1"/>
  <c r="D468" i="44" s="1"/>
  <c r="D7" i="32"/>
  <c r="D11" i="32"/>
  <c r="D64" i="22"/>
  <c r="D64" i="19"/>
  <c r="D66" i="19" s="1"/>
  <c r="D98" i="19"/>
  <c r="D102" i="19" s="1"/>
  <c r="D107" i="19" s="1"/>
  <c r="D69" i="22" l="1"/>
  <c r="D68" i="22"/>
  <c r="D70" i="22" s="1"/>
  <c r="D13" i="32"/>
  <c r="D27" i="32"/>
  <c r="D69" i="19" l="1"/>
  <c r="D34" i="32"/>
  <c r="C26" i="32"/>
  <c r="C12" i="32" s="1"/>
  <c r="C93" i="21" s="1"/>
  <c r="D25" i="21"/>
  <c r="D26" i="21" s="1"/>
  <c r="D15" i="32"/>
  <c r="C96" i="21" l="1"/>
  <c r="C13" i="21" s="1"/>
  <c r="C318" i="44"/>
  <c r="C303" i="44" s="1"/>
  <c r="C93" i="19"/>
  <c r="C95" i="19" s="1"/>
  <c r="C60" i="19" s="1"/>
  <c r="D17" i="32"/>
  <c r="D32" i="32"/>
  <c r="D62" i="19"/>
  <c r="C327" i="44" l="1"/>
  <c r="C438" i="44"/>
  <c r="C440" i="44" s="1"/>
  <c r="C16" i="21"/>
  <c r="C15" i="21"/>
  <c r="C18" i="21" s="1"/>
  <c r="C20" i="21" s="1"/>
  <c r="C24" i="21" s="1"/>
  <c r="D35" i="32"/>
  <c r="D36" i="32" s="1"/>
  <c r="D39" i="32" s="1"/>
  <c r="D41" i="32" s="1"/>
  <c r="C37" i="32" s="1"/>
  <c r="D19" i="32"/>
  <c r="C61" i="19"/>
  <c r="C5" i="32"/>
  <c r="C6" i="32" s="1"/>
  <c r="C442" i="44" l="1"/>
  <c r="C445" i="44" s="1"/>
  <c r="C447" i="44" s="1"/>
  <c r="C452" i="44" s="1"/>
  <c r="C468" i="44" s="1"/>
  <c r="C443" i="44"/>
  <c r="C7" i="32"/>
  <c r="C64" i="22"/>
  <c r="C11" i="32"/>
  <c r="C64" i="19"/>
  <c r="C66" i="19" s="1"/>
  <c r="C98" i="19"/>
  <c r="C102" i="19" s="1"/>
  <c r="C107" i="19" s="1"/>
  <c r="C13" i="32" l="1"/>
  <c r="C27" i="32"/>
  <c r="C69" i="22"/>
  <c r="C68" i="22"/>
  <c r="C70" i="22" s="1"/>
  <c r="C34" i="32" l="1"/>
  <c r="C69" i="19"/>
  <c r="B26" i="32"/>
  <c r="B12" i="32" s="1"/>
  <c r="B93" i="21" s="1"/>
  <c r="C25" i="21"/>
  <c r="C26" i="21" s="1"/>
  <c r="C15" i="32"/>
  <c r="B96" i="21" l="1"/>
  <c r="B93" i="19" s="1"/>
  <c r="B95" i="19" s="1"/>
  <c r="B60" i="19" s="1"/>
  <c r="B318" i="44"/>
  <c r="B303" i="44" s="1"/>
  <c r="C17" i="32"/>
  <c r="C32" i="32"/>
  <c r="C62" i="19"/>
  <c r="B13" i="21" l="1"/>
  <c r="B15" i="21" s="1"/>
  <c r="B438" i="44"/>
  <c r="B440" i="44" s="1"/>
  <c r="B327" i="44"/>
  <c r="C35" i="32"/>
  <c r="C36" i="32" s="1"/>
  <c r="C39" i="32" s="1"/>
  <c r="C41" i="32" s="1"/>
  <c r="B37" i="32" s="1"/>
  <c r="C19" i="32"/>
  <c r="B61" i="19"/>
  <c r="B5" i="32"/>
  <c r="B6" i="32" s="1"/>
  <c r="B64" i="22" s="1"/>
  <c r="B16" i="21"/>
  <c r="B18" i="21"/>
  <c r="B24" i="21" l="1"/>
  <c r="B443" i="44"/>
  <c r="B442" i="44"/>
  <c r="B445" i="44" s="1"/>
  <c r="B447" i="44" s="1"/>
  <c r="B452" i="44" s="1"/>
  <c r="B468" i="44" s="1"/>
  <c r="B98" i="19"/>
  <c r="B102" i="19" s="1"/>
  <c r="B107" i="19" s="1"/>
  <c r="B64" i="19"/>
  <c r="B66" i="19" s="1"/>
  <c r="B7" i="32"/>
  <c r="B11" i="32"/>
  <c r="B13" i="32" l="1"/>
  <c r="B27" i="32"/>
  <c r="B69" i="22"/>
  <c r="B68" i="22"/>
  <c r="B70" i="22" s="1"/>
  <c r="B69" i="19" l="1"/>
  <c r="B34" i="32"/>
  <c r="B15" i="32"/>
  <c r="B17" i="32" l="1"/>
  <c r="B32" i="32"/>
  <c r="B62" i="19"/>
  <c r="B19" i="32" l="1"/>
  <c r="B35" i="32"/>
  <c r="B36" i="32" s="1"/>
  <c r="B39" i="32" s="1"/>
  <c r="B41" i="32" s="1"/>
</calcChain>
</file>

<file path=xl/comments1.xml><?xml version="1.0" encoding="utf-8"?>
<comments xmlns="http://schemas.openxmlformats.org/spreadsheetml/2006/main">
  <authors>
    <author>TAXDAY</author>
    <author>Javier Martinez</author>
    <author>usuario</author>
    <author>Javier</author>
    <author>taxday</author>
  </authors>
  <commentList>
    <comment ref="E21" authorId="0" shapeId="0">
      <text>
        <r>
          <rPr>
            <b/>
            <sz val="9"/>
            <color indexed="81"/>
            <rFont val="Tahoma"/>
            <family val="2"/>
          </rPr>
          <t>TAXDAY:</t>
        </r>
        <r>
          <rPr>
            <sz val="9"/>
            <color indexed="81"/>
            <rFont val="Tahoma"/>
            <family val="2"/>
          </rPr>
          <t xml:space="preserve">
saldo inicial de PTU en balanza</t>
        </r>
      </text>
    </comment>
    <comment ref="E160" authorId="0" shapeId="0">
      <text>
        <r>
          <rPr>
            <b/>
            <sz val="9"/>
            <color indexed="81"/>
            <rFont val="Tahoma"/>
            <family val="2"/>
          </rPr>
          <t>TAXDAY:</t>
        </r>
        <r>
          <rPr>
            <sz val="9"/>
            <color indexed="81"/>
            <rFont val="Tahoma"/>
            <family val="2"/>
          </rPr>
          <t xml:space="preserve">
GASTOS DE OPERACIÓN+DEPRECIACION+COMISIONES BANCARIAS</t>
        </r>
      </text>
    </comment>
    <comment ref="E212" authorId="0" shapeId="0">
      <text>
        <r>
          <rPr>
            <b/>
            <sz val="9"/>
            <color indexed="81"/>
            <rFont val="Tahoma"/>
            <family val="2"/>
          </rPr>
          <t>TAXDAY:</t>
        </r>
        <r>
          <rPr>
            <sz val="9"/>
            <color indexed="81"/>
            <rFont val="Tahoma"/>
            <family val="2"/>
          </rPr>
          <t xml:space="preserve">
UTILIDAD CONTABLE POR VENTA DE ACTIVO FIJO</t>
        </r>
      </text>
    </comment>
    <comment ref="G273" authorId="1" shapeId="0">
      <text>
        <r>
          <rPr>
            <b/>
            <sz val="9"/>
            <color indexed="81"/>
            <rFont val="Tahoma"/>
            <family val="2"/>
          </rPr>
          <t>Javier Martinez:</t>
        </r>
        <r>
          <rPr>
            <sz val="9"/>
            <color indexed="81"/>
            <rFont val="Tahoma"/>
            <family val="2"/>
          </rPr>
          <t xml:space="preserve">
</t>
        </r>
      </text>
    </comment>
    <comment ref="E299" authorId="1" shapeId="0">
      <text>
        <r>
          <rPr>
            <b/>
            <sz val="9"/>
            <color indexed="81"/>
            <rFont val="Tahoma"/>
            <family val="2"/>
          </rPr>
          <t>Javier Martinez:</t>
        </r>
        <r>
          <rPr>
            <sz val="9"/>
            <color indexed="81"/>
            <rFont val="Tahoma"/>
            <family val="2"/>
          </rPr>
          <t xml:space="preserve">
Provision MG y Taxday
Y el factor de pagos exentos para trabajadores 53%
</t>
        </r>
      </text>
    </comment>
    <comment ref="F299" authorId="1" shapeId="0">
      <text>
        <r>
          <rPr>
            <b/>
            <sz val="9"/>
            <color indexed="81"/>
            <rFont val="Tahoma"/>
            <family val="2"/>
          </rPr>
          <t>Javier Martinez:</t>
        </r>
        <r>
          <rPr>
            <sz val="9"/>
            <color indexed="81"/>
            <rFont val="Tahoma"/>
            <family val="2"/>
          </rPr>
          <t xml:space="preserve">
Provision MG y Taxday</t>
        </r>
      </text>
    </comment>
    <comment ref="G299" authorId="1" shapeId="0">
      <text>
        <r>
          <rPr>
            <b/>
            <sz val="9"/>
            <color indexed="81"/>
            <rFont val="Tahoma"/>
            <family val="2"/>
          </rPr>
          <t>Javier Martinez:</t>
        </r>
        <r>
          <rPr>
            <sz val="9"/>
            <color indexed="81"/>
            <rFont val="Tahoma"/>
            <family val="2"/>
          </rPr>
          <t xml:space="preserve">
Hon 33,045; provisiones $254,932</t>
        </r>
      </text>
    </comment>
    <comment ref="A327" authorId="1" shapeId="0">
      <text>
        <r>
          <rPr>
            <sz val="9"/>
            <color indexed="81"/>
            <rFont val="Tahoma"/>
            <family val="2"/>
          </rPr>
          <t xml:space="preserve">Taxday. A partir de 2014 se refiere a la Utilidad o Perdida Fiscal
</t>
        </r>
      </text>
    </comment>
    <comment ref="B442" authorId="2" shapeId="0">
      <text>
        <r>
          <rPr>
            <b/>
            <sz val="9"/>
            <color indexed="81"/>
            <rFont val="Tahoma"/>
            <family val="2"/>
          </rPr>
          <t>usuario:</t>
        </r>
        <r>
          <rPr>
            <sz val="9"/>
            <color indexed="81"/>
            <rFont val="Tahoma"/>
            <family val="2"/>
          </rPr>
          <t xml:space="preserve">
AUTOMATICO</t>
        </r>
      </text>
    </comment>
    <comment ref="C442" authorId="2" shapeId="0">
      <text>
        <r>
          <rPr>
            <b/>
            <sz val="9"/>
            <color indexed="81"/>
            <rFont val="Tahoma"/>
            <family val="2"/>
          </rPr>
          <t>usuario:</t>
        </r>
        <r>
          <rPr>
            <sz val="9"/>
            <color indexed="81"/>
            <rFont val="Tahoma"/>
            <family val="2"/>
          </rPr>
          <t xml:space="preserve">
AUTOMATICO</t>
        </r>
      </text>
    </comment>
    <comment ref="D442" authorId="2" shapeId="0">
      <text>
        <r>
          <rPr>
            <b/>
            <sz val="9"/>
            <color indexed="81"/>
            <rFont val="Tahoma"/>
            <family val="2"/>
          </rPr>
          <t>usuario:</t>
        </r>
        <r>
          <rPr>
            <sz val="9"/>
            <color indexed="81"/>
            <rFont val="Tahoma"/>
            <family val="2"/>
          </rPr>
          <t xml:space="preserve">
AUTOMATICO</t>
        </r>
      </text>
    </comment>
    <comment ref="E442" authorId="2" shapeId="0">
      <text>
        <r>
          <rPr>
            <b/>
            <sz val="9"/>
            <color indexed="81"/>
            <rFont val="Tahoma"/>
            <family val="2"/>
          </rPr>
          <t>usuario:</t>
        </r>
        <r>
          <rPr>
            <sz val="9"/>
            <color indexed="81"/>
            <rFont val="Tahoma"/>
            <family val="2"/>
          </rPr>
          <t xml:space="preserve">
AUTOMATICO</t>
        </r>
      </text>
    </comment>
    <comment ref="F442" authorId="2" shapeId="0">
      <text>
        <r>
          <rPr>
            <b/>
            <sz val="9"/>
            <color indexed="81"/>
            <rFont val="Tahoma"/>
            <family val="2"/>
          </rPr>
          <t>usuario:</t>
        </r>
        <r>
          <rPr>
            <sz val="9"/>
            <color indexed="81"/>
            <rFont val="Tahoma"/>
            <family val="2"/>
          </rPr>
          <t xml:space="preserve">
AUTOMATICO</t>
        </r>
      </text>
    </comment>
    <comment ref="G442" authorId="2" shapeId="0">
      <text>
        <r>
          <rPr>
            <b/>
            <sz val="9"/>
            <color indexed="81"/>
            <rFont val="Tahoma"/>
            <family val="2"/>
          </rPr>
          <t>usuario:</t>
        </r>
        <r>
          <rPr>
            <sz val="9"/>
            <color indexed="81"/>
            <rFont val="Tahoma"/>
            <family val="2"/>
          </rPr>
          <t xml:space="preserve">
AUTOMATICO</t>
        </r>
      </text>
    </comment>
    <comment ref="H442" authorId="2" shapeId="0">
      <text>
        <r>
          <rPr>
            <b/>
            <sz val="9"/>
            <color indexed="81"/>
            <rFont val="Tahoma"/>
            <family val="2"/>
          </rPr>
          <t>usuario:</t>
        </r>
        <r>
          <rPr>
            <sz val="9"/>
            <color indexed="81"/>
            <rFont val="Tahoma"/>
            <family val="2"/>
          </rPr>
          <t xml:space="preserve">
AUTOMATICO</t>
        </r>
      </text>
    </comment>
    <comment ref="I442" authorId="2" shapeId="0">
      <text>
        <r>
          <rPr>
            <b/>
            <sz val="9"/>
            <color indexed="81"/>
            <rFont val="Tahoma"/>
            <family val="2"/>
          </rPr>
          <t>usuario:</t>
        </r>
        <r>
          <rPr>
            <sz val="9"/>
            <color indexed="81"/>
            <rFont val="Tahoma"/>
            <family val="2"/>
          </rPr>
          <t xml:space="preserve">
AUTOMATICO</t>
        </r>
      </text>
    </comment>
    <comment ref="J442" authorId="2" shapeId="0">
      <text>
        <r>
          <rPr>
            <b/>
            <sz val="9"/>
            <color indexed="81"/>
            <rFont val="Tahoma"/>
            <family val="2"/>
          </rPr>
          <t>usuario:</t>
        </r>
        <r>
          <rPr>
            <sz val="9"/>
            <color indexed="81"/>
            <rFont val="Tahoma"/>
            <family val="2"/>
          </rPr>
          <t xml:space="preserve">
AUTOMATICO</t>
        </r>
      </text>
    </comment>
    <comment ref="K442" authorId="2" shapeId="0">
      <text>
        <r>
          <rPr>
            <b/>
            <sz val="9"/>
            <color indexed="81"/>
            <rFont val="Tahoma"/>
            <family val="2"/>
          </rPr>
          <t>usuario:</t>
        </r>
        <r>
          <rPr>
            <sz val="9"/>
            <color indexed="81"/>
            <rFont val="Tahoma"/>
            <family val="2"/>
          </rPr>
          <t xml:space="preserve">
AUTOMATICO</t>
        </r>
      </text>
    </comment>
    <comment ref="L442" authorId="2" shapeId="0">
      <text>
        <r>
          <rPr>
            <b/>
            <sz val="9"/>
            <color indexed="81"/>
            <rFont val="Tahoma"/>
            <family val="2"/>
          </rPr>
          <t>usuario:</t>
        </r>
        <r>
          <rPr>
            <sz val="9"/>
            <color indexed="81"/>
            <rFont val="Tahoma"/>
            <family val="2"/>
          </rPr>
          <t xml:space="preserve">
AUTOMATICO</t>
        </r>
      </text>
    </comment>
    <comment ref="M442" authorId="2" shapeId="0">
      <text>
        <r>
          <rPr>
            <b/>
            <sz val="9"/>
            <color indexed="81"/>
            <rFont val="Tahoma"/>
            <family val="2"/>
          </rPr>
          <t>usuario:</t>
        </r>
        <r>
          <rPr>
            <sz val="9"/>
            <color indexed="81"/>
            <rFont val="Tahoma"/>
            <family val="2"/>
          </rPr>
          <t xml:space="preserve">
AUTOMATICO</t>
        </r>
      </text>
    </comment>
    <comment ref="N442" authorId="2" shapeId="0">
      <text>
        <r>
          <rPr>
            <b/>
            <sz val="9"/>
            <color indexed="81"/>
            <rFont val="Tahoma"/>
            <family val="2"/>
          </rPr>
          <t>usuario:</t>
        </r>
        <r>
          <rPr>
            <sz val="9"/>
            <color indexed="81"/>
            <rFont val="Tahoma"/>
            <family val="2"/>
          </rPr>
          <t xml:space="preserve">
AUTOMATICO</t>
        </r>
      </text>
    </comment>
    <comment ref="B443" authorId="2" shapeId="0">
      <text>
        <r>
          <rPr>
            <b/>
            <sz val="9"/>
            <color indexed="81"/>
            <rFont val="Tahoma"/>
            <family val="2"/>
          </rPr>
          <t>usuario:</t>
        </r>
        <r>
          <rPr>
            <sz val="9"/>
            <color indexed="81"/>
            <rFont val="Tahoma"/>
            <family val="2"/>
          </rPr>
          <t xml:space="preserve">
AUT</t>
        </r>
      </text>
    </comment>
    <comment ref="C443" authorId="2" shapeId="0">
      <text>
        <r>
          <rPr>
            <b/>
            <sz val="9"/>
            <color indexed="81"/>
            <rFont val="Tahoma"/>
            <family val="2"/>
          </rPr>
          <t>usuario:</t>
        </r>
        <r>
          <rPr>
            <sz val="9"/>
            <color indexed="81"/>
            <rFont val="Tahoma"/>
            <family val="2"/>
          </rPr>
          <t xml:space="preserve">
AUT</t>
        </r>
      </text>
    </comment>
    <comment ref="D443" authorId="2" shapeId="0">
      <text>
        <r>
          <rPr>
            <b/>
            <sz val="9"/>
            <color indexed="81"/>
            <rFont val="Tahoma"/>
            <family val="2"/>
          </rPr>
          <t>usuario:</t>
        </r>
        <r>
          <rPr>
            <sz val="9"/>
            <color indexed="81"/>
            <rFont val="Tahoma"/>
            <family val="2"/>
          </rPr>
          <t xml:space="preserve">
AUT</t>
        </r>
      </text>
    </comment>
    <comment ref="E443" authorId="2" shapeId="0">
      <text>
        <r>
          <rPr>
            <b/>
            <sz val="9"/>
            <color indexed="81"/>
            <rFont val="Tahoma"/>
            <family val="2"/>
          </rPr>
          <t>usuario:</t>
        </r>
        <r>
          <rPr>
            <sz val="9"/>
            <color indexed="81"/>
            <rFont val="Tahoma"/>
            <family val="2"/>
          </rPr>
          <t xml:space="preserve">
AUT</t>
        </r>
      </text>
    </comment>
    <comment ref="F443" authorId="2" shapeId="0">
      <text>
        <r>
          <rPr>
            <b/>
            <sz val="9"/>
            <color indexed="81"/>
            <rFont val="Tahoma"/>
            <family val="2"/>
          </rPr>
          <t>usuario:</t>
        </r>
        <r>
          <rPr>
            <sz val="9"/>
            <color indexed="81"/>
            <rFont val="Tahoma"/>
            <family val="2"/>
          </rPr>
          <t xml:space="preserve">
AUT</t>
        </r>
      </text>
    </comment>
    <comment ref="G443" authorId="2" shapeId="0">
      <text>
        <r>
          <rPr>
            <b/>
            <sz val="9"/>
            <color indexed="81"/>
            <rFont val="Tahoma"/>
            <family val="2"/>
          </rPr>
          <t>usuario:</t>
        </r>
        <r>
          <rPr>
            <sz val="9"/>
            <color indexed="81"/>
            <rFont val="Tahoma"/>
            <family val="2"/>
          </rPr>
          <t xml:space="preserve">
AUT</t>
        </r>
      </text>
    </comment>
    <comment ref="H443" authorId="2" shapeId="0">
      <text>
        <r>
          <rPr>
            <b/>
            <sz val="9"/>
            <color indexed="81"/>
            <rFont val="Tahoma"/>
            <family val="2"/>
          </rPr>
          <t>usuario:</t>
        </r>
        <r>
          <rPr>
            <sz val="9"/>
            <color indexed="81"/>
            <rFont val="Tahoma"/>
            <family val="2"/>
          </rPr>
          <t xml:space="preserve">
AUT</t>
        </r>
      </text>
    </comment>
    <comment ref="I443" authorId="2" shapeId="0">
      <text>
        <r>
          <rPr>
            <b/>
            <sz val="9"/>
            <color indexed="81"/>
            <rFont val="Tahoma"/>
            <family val="2"/>
          </rPr>
          <t>usuario:</t>
        </r>
        <r>
          <rPr>
            <sz val="9"/>
            <color indexed="81"/>
            <rFont val="Tahoma"/>
            <family val="2"/>
          </rPr>
          <t xml:space="preserve">
AUT</t>
        </r>
      </text>
    </comment>
    <comment ref="J443" authorId="2" shapeId="0">
      <text>
        <r>
          <rPr>
            <b/>
            <sz val="9"/>
            <color indexed="81"/>
            <rFont val="Tahoma"/>
            <family val="2"/>
          </rPr>
          <t>usuario:</t>
        </r>
        <r>
          <rPr>
            <sz val="9"/>
            <color indexed="81"/>
            <rFont val="Tahoma"/>
            <family val="2"/>
          </rPr>
          <t xml:space="preserve">
AUT</t>
        </r>
      </text>
    </comment>
    <comment ref="K443" authorId="2" shapeId="0">
      <text>
        <r>
          <rPr>
            <b/>
            <sz val="9"/>
            <color indexed="81"/>
            <rFont val="Tahoma"/>
            <family val="2"/>
          </rPr>
          <t>usuario:</t>
        </r>
        <r>
          <rPr>
            <sz val="9"/>
            <color indexed="81"/>
            <rFont val="Tahoma"/>
            <family val="2"/>
          </rPr>
          <t xml:space="preserve">
AUT</t>
        </r>
      </text>
    </comment>
    <comment ref="L443" authorId="2" shapeId="0">
      <text>
        <r>
          <rPr>
            <b/>
            <sz val="9"/>
            <color indexed="81"/>
            <rFont val="Tahoma"/>
            <family val="2"/>
          </rPr>
          <t>usuario:</t>
        </r>
        <r>
          <rPr>
            <sz val="9"/>
            <color indexed="81"/>
            <rFont val="Tahoma"/>
            <family val="2"/>
          </rPr>
          <t xml:space="preserve">
AUT</t>
        </r>
      </text>
    </comment>
    <comment ref="M443" authorId="2" shapeId="0">
      <text>
        <r>
          <rPr>
            <b/>
            <sz val="9"/>
            <color indexed="81"/>
            <rFont val="Tahoma"/>
            <family val="2"/>
          </rPr>
          <t>usuario:</t>
        </r>
        <r>
          <rPr>
            <sz val="9"/>
            <color indexed="81"/>
            <rFont val="Tahoma"/>
            <family val="2"/>
          </rPr>
          <t xml:space="preserve">
AUT</t>
        </r>
      </text>
    </comment>
    <comment ref="N443" authorId="2" shapeId="0">
      <text>
        <r>
          <rPr>
            <b/>
            <sz val="9"/>
            <color indexed="81"/>
            <rFont val="Tahoma"/>
            <family val="2"/>
          </rPr>
          <t>usuario:</t>
        </r>
        <r>
          <rPr>
            <sz val="9"/>
            <color indexed="81"/>
            <rFont val="Tahoma"/>
            <family val="2"/>
          </rPr>
          <t xml:space="preserve">
AUT</t>
        </r>
      </text>
    </comment>
    <comment ref="A558" authorId="3" shapeId="0">
      <text>
        <r>
          <rPr>
            <b/>
            <sz val="9"/>
            <color indexed="81"/>
            <rFont val="Tahoma"/>
            <family val="2"/>
          </rPr>
          <t>Javier:</t>
        </r>
        <r>
          <rPr>
            <sz val="9"/>
            <color indexed="81"/>
            <rFont val="Tahoma"/>
            <family val="2"/>
          </rPr>
          <t xml:space="preserve">
No viene por separado en el Sipred, incluir manual</t>
        </r>
      </text>
    </comment>
    <comment ref="A569" authorId="3" shapeId="0">
      <text>
        <r>
          <rPr>
            <b/>
            <sz val="9"/>
            <color indexed="81"/>
            <rFont val="Tahoma"/>
            <family val="2"/>
          </rPr>
          <t>Javier:</t>
        </r>
        <r>
          <rPr>
            <sz val="9"/>
            <color indexed="81"/>
            <rFont val="Tahoma"/>
            <family val="2"/>
          </rPr>
          <t xml:space="preserve">
Para pasar al anexo 36 se suman renglones</t>
        </r>
      </text>
    </comment>
    <comment ref="A585" authorId="4" shapeId="0">
      <text>
        <r>
          <rPr>
            <b/>
            <sz val="9"/>
            <color indexed="81"/>
            <rFont val="Tahoma"/>
            <family val="2"/>
          </rPr>
          <t>taxday:</t>
        </r>
        <r>
          <rPr>
            <sz val="9"/>
            <color indexed="81"/>
            <rFont val="Tahoma"/>
            <family val="2"/>
          </rPr>
          <t xml:space="preserve">
incluye al IDE, no incluye el subsidio al empleo</t>
        </r>
      </text>
    </comment>
  </commentList>
</comments>
</file>

<file path=xl/comments2.xml><?xml version="1.0" encoding="utf-8"?>
<comments xmlns="http://schemas.openxmlformats.org/spreadsheetml/2006/main">
  <authors>
    <author>Javier Martinez</author>
  </authors>
  <commentList>
    <comment ref="C20" authorId="0" shapeId="0">
      <text>
        <r>
          <rPr>
            <sz val="9"/>
            <color indexed="81"/>
            <rFont val="Tahoma"/>
            <family val="2"/>
          </rPr>
          <t xml:space="preserve">PRN Partes Relacionadas Nacionales
</t>
        </r>
      </text>
    </comment>
    <comment ref="C22" authorId="0" shapeId="0">
      <text>
        <r>
          <rPr>
            <sz val="9"/>
            <color indexed="81"/>
            <rFont val="Tahoma"/>
            <family val="2"/>
          </rPr>
          <t xml:space="preserve">PRE Partes relacionadas del Extranjero
</t>
        </r>
      </text>
    </comment>
    <comment ref="C24" authorId="0" shapeId="0">
      <text>
        <r>
          <rPr>
            <sz val="9"/>
            <color indexed="81"/>
            <rFont val="Tahoma"/>
            <family val="2"/>
          </rPr>
          <t xml:space="preserve">CP Corto Plazo
</t>
        </r>
      </text>
    </comment>
    <comment ref="C25" authorId="0" shapeId="0">
      <text>
        <r>
          <rPr>
            <sz val="9"/>
            <color indexed="81"/>
            <rFont val="Tahoma"/>
            <family val="2"/>
          </rPr>
          <t xml:space="preserve">CPN Corto Plazo Nacional
</t>
        </r>
      </text>
    </comment>
    <comment ref="C27" authorId="0" shapeId="0">
      <text>
        <r>
          <rPr>
            <sz val="9"/>
            <color indexed="81"/>
            <rFont val="Tahoma"/>
            <family val="2"/>
          </rPr>
          <t xml:space="preserve">CPE Corto Plazo Extranjeros
</t>
        </r>
      </text>
    </comment>
    <comment ref="C29" authorId="0" shapeId="0">
      <text>
        <r>
          <rPr>
            <sz val="9"/>
            <color indexed="81"/>
            <rFont val="Tahoma"/>
            <family val="2"/>
          </rPr>
          <t xml:space="preserve">CP PRN Corto Plazo, Partes Relacionadas Nacionales
</t>
        </r>
      </text>
    </comment>
    <comment ref="C31" authorId="0" shapeId="0">
      <text>
        <r>
          <rPr>
            <sz val="9"/>
            <color indexed="81"/>
            <rFont val="Tahoma"/>
            <family val="2"/>
          </rPr>
          <t xml:space="preserve">CP PRE Corto Plazo, Partes Relacionadas del Extranjero
</t>
        </r>
      </text>
    </comment>
    <comment ref="C33" authorId="0" shapeId="0">
      <text>
        <r>
          <rPr>
            <sz val="9"/>
            <color indexed="81"/>
            <rFont val="Tahoma"/>
            <family val="2"/>
          </rPr>
          <t xml:space="preserve">CPN Corto Plazo Nacional
</t>
        </r>
      </text>
    </comment>
    <comment ref="C35" authorId="0" shapeId="0">
      <text>
        <r>
          <rPr>
            <sz val="9"/>
            <color indexed="81"/>
            <rFont val="Tahoma"/>
            <family val="2"/>
          </rPr>
          <t xml:space="preserve">CPE Corto Plazo Extranjeros
</t>
        </r>
      </text>
    </comment>
    <comment ref="C37" authorId="0" shapeId="0">
      <text>
        <r>
          <rPr>
            <sz val="9"/>
            <color indexed="81"/>
            <rFont val="Tahoma"/>
            <family val="2"/>
          </rPr>
          <t xml:space="preserve">CP PRN Corto Plazo, Partes Relacionadas Nacionales
</t>
        </r>
      </text>
    </comment>
    <comment ref="C39" authorId="0" shapeId="0">
      <text>
        <r>
          <rPr>
            <sz val="9"/>
            <color indexed="81"/>
            <rFont val="Tahoma"/>
            <family val="2"/>
          </rPr>
          <t xml:space="preserve">CP PRE Corto Plazo, Partes Relacionadas Extranjeras
</t>
        </r>
      </text>
    </comment>
    <comment ref="C41" authorId="0" shapeId="0">
      <text>
        <r>
          <rPr>
            <sz val="9"/>
            <color indexed="81"/>
            <rFont val="Tahoma"/>
            <family val="2"/>
          </rPr>
          <t xml:space="preserve">CP Corto Plazo
</t>
        </r>
      </text>
    </comment>
    <comment ref="C43" authorId="0" shapeId="0">
      <text>
        <r>
          <rPr>
            <sz val="9"/>
            <color indexed="81"/>
            <rFont val="Tahoma"/>
            <family val="2"/>
          </rPr>
          <t xml:space="preserve">CP PRE Corto Plazo, Partes Relacionadas del Extranjero
</t>
        </r>
      </text>
    </comment>
    <comment ref="C63" authorId="0" shapeId="0">
      <text>
        <r>
          <rPr>
            <sz val="9"/>
            <color indexed="81"/>
            <rFont val="Tahoma"/>
            <family val="2"/>
          </rPr>
          <t xml:space="preserve">PRN Partes Relacionadas Nacionales
</t>
        </r>
      </text>
    </comment>
    <comment ref="C65" authorId="0" shapeId="0">
      <text>
        <r>
          <rPr>
            <sz val="9"/>
            <color indexed="81"/>
            <rFont val="Tahoma"/>
            <family val="2"/>
          </rPr>
          <t xml:space="preserve">PRE Partes Relacionadas Extranjeras
</t>
        </r>
      </text>
    </comment>
    <comment ref="C70" authorId="0" shapeId="0">
      <text>
        <r>
          <rPr>
            <sz val="9"/>
            <color indexed="81"/>
            <rFont val="Tahoma"/>
            <family val="2"/>
          </rPr>
          <t xml:space="preserve">PRE Partes Relacionadas del Extranjero
</t>
        </r>
      </text>
    </comment>
    <comment ref="C72" authorId="0" shapeId="0">
      <text>
        <r>
          <rPr>
            <sz val="9"/>
            <color indexed="81"/>
            <rFont val="Tahoma"/>
            <family val="2"/>
          </rPr>
          <t xml:space="preserve">Partes Relacionadas Nacionales
</t>
        </r>
      </text>
    </comment>
    <comment ref="C74" authorId="0" shapeId="0">
      <text>
        <r>
          <rPr>
            <sz val="9"/>
            <color indexed="81"/>
            <rFont val="Tahoma"/>
            <family val="2"/>
          </rPr>
          <t xml:space="preserve">PRE Partes Relacionadas Extranjeras
</t>
        </r>
      </text>
    </comment>
    <comment ref="C293" authorId="0" shapeId="0">
      <text>
        <r>
          <rPr>
            <sz val="9"/>
            <color indexed="81"/>
            <rFont val="Tahoma"/>
            <family val="2"/>
          </rPr>
          <t xml:space="preserve">LP Largo Plazo
</t>
        </r>
      </text>
    </comment>
    <comment ref="C294" authorId="0" shapeId="0">
      <text>
        <r>
          <rPr>
            <sz val="9"/>
            <color indexed="81"/>
            <rFont val="Tahoma"/>
            <family val="2"/>
          </rPr>
          <t xml:space="preserve">LPN Largo Plazo Nacional
</t>
        </r>
      </text>
    </comment>
    <comment ref="C296" authorId="0" shapeId="0">
      <text>
        <r>
          <rPr>
            <sz val="9"/>
            <color indexed="81"/>
            <rFont val="Tahoma"/>
            <family val="2"/>
          </rPr>
          <t xml:space="preserve">LPE Largo Plazo Extranjeros
</t>
        </r>
      </text>
    </comment>
    <comment ref="C298" authorId="0" shapeId="0">
      <text>
        <r>
          <rPr>
            <sz val="9"/>
            <color indexed="81"/>
            <rFont val="Tahoma"/>
            <family val="2"/>
          </rPr>
          <t xml:space="preserve">LP PRN Largo Plazo, Partes Relacionadas Nacionales
</t>
        </r>
      </text>
    </comment>
    <comment ref="C300" authorId="0" shapeId="0">
      <text>
        <r>
          <rPr>
            <sz val="9"/>
            <color indexed="81"/>
            <rFont val="Tahoma"/>
            <family val="2"/>
          </rPr>
          <t xml:space="preserve">LP PRE Largo Plazo, Partes Relacionadas del Extranjero
</t>
        </r>
      </text>
    </comment>
    <comment ref="C302" authorId="0" shapeId="0">
      <text>
        <r>
          <rPr>
            <sz val="9"/>
            <color indexed="81"/>
            <rFont val="Tahoma"/>
            <family val="2"/>
          </rPr>
          <t xml:space="preserve">LPN Largo Plazo Nacional
</t>
        </r>
      </text>
    </comment>
    <comment ref="C304" authorId="0" shapeId="0">
      <text>
        <r>
          <rPr>
            <sz val="9"/>
            <color indexed="81"/>
            <rFont val="Tahoma"/>
            <family val="2"/>
          </rPr>
          <t xml:space="preserve">LPE Largo Plazo Extranjeros
</t>
        </r>
      </text>
    </comment>
    <comment ref="C306" authorId="0" shapeId="0">
      <text>
        <r>
          <rPr>
            <sz val="9"/>
            <color indexed="81"/>
            <rFont val="Tahoma"/>
            <family val="2"/>
          </rPr>
          <t xml:space="preserve">LP PRN Largo Plazo, Partes Relacionadas Nacionales
</t>
        </r>
      </text>
    </comment>
    <comment ref="C308" authorId="0" shapeId="0">
      <text>
        <r>
          <rPr>
            <sz val="9"/>
            <color indexed="81"/>
            <rFont val="Tahoma"/>
            <family val="2"/>
          </rPr>
          <t xml:space="preserve">LP PRE Largo Plazo, Partes Relacionadas Extranjeras
</t>
        </r>
      </text>
    </comment>
    <comment ref="C310" authorId="0" shapeId="0">
      <text>
        <r>
          <rPr>
            <sz val="9"/>
            <color indexed="81"/>
            <rFont val="Tahoma"/>
            <family val="2"/>
          </rPr>
          <t xml:space="preserve">LP Largo Plazo
</t>
        </r>
      </text>
    </comment>
    <comment ref="C312" authorId="0" shapeId="0">
      <text>
        <r>
          <rPr>
            <sz val="9"/>
            <color indexed="81"/>
            <rFont val="Tahoma"/>
            <family val="2"/>
          </rPr>
          <t xml:space="preserve">LP PRE Largo Plazo, Partes Relacionadas del Extranjero
</t>
        </r>
      </text>
    </comment>
    <comment ref="C333" authorId="0" shapeId="0">
      <text>
        <r>
          <rPr>
            <sz val="9"/>
            <color indexed="81"/>
            <rFont val="Tahoma"/>
            <family val="2"/>
          </rPr>
          <t xml:space="preserve">CP Corto Plazo
</t>
        </r>
      </text>
    </comment>
    <comment ref="C338" authorId="0" shapeId="0">
      <text>
        <r>
          <rPr>
            <sz val="9"/>
            <color indexed="81"/>
            <rFont val="Tahoma"/>
            <family val="2"/>
          </rPr>
          <t xml:space="preserve">CP NAL Corto Plazo, Nacional
</t>
        </r>
      </text>
    </comment>
    <comment ref="C340" authorId="0" shapeId="0">
      <text>
        <r>
          <rPr>
            <sz val="9"/>
            <color indexed="81"/>
            <rFont val="Tahoma"/>
            <family val="2"/>
          </rPr>
          <t xml:space="preserve">CP EXT Corto Plazo Extranjero
</t>
        </r>
      </text>
    </comment>
    <comment ref="C342" authorId="0" shapeId="0">
      <text>
        <r>
          <rPr>
            <sz val="9"/>
            <color indexed="81"/>
            <rFont val="Tahoma"/>
            <family val="2"/>
          </rPr>
          <t xml:space="preserve">CP PRN Corto Plazo, Parte Relacionada Nacional
</t>
        </r>
      </text>
    </comment>
    <comment ref="C344" authorId="0" shapeId="0">
      <text>
        <r>
          <rPr>
            <sz val="9"/>
            <color indexed="81"/>
            <rFont val="Tahoma"/>
            <family val="2"/>
          </rPr>
          <t xml:space="preserve">CP PRE Corto Plazo Parte Relacionada Extranjera
</t>
        </r>
      </text>
    </comment>
    <comment ref="C510" authorId="0" shapeId="0">
      <text>
        <r>
          <rPr>
            <sz val="9"/>
            <color indexed="81"/>
            <rFont val="Tahoma"/>
            <family val="2"/>
          </rPr>
          <t xml:space="preserve">LP NAL Largo Plazo Nacional
</t>
        </r>
      </text>
    </comment>
    <comment ref="C512" authorId="0" shapeId="0">
      <text>
        <r>
          <rPr>
            <sz val="9"/>
            <color indexed="81"/>
            <rFont val="Tahoma"/>
            <family val="2"/>
          </rPr>
          <t xml:space="preserve">LPE Largo Plazo Extranjero
</t>
        </r>
      </text>
    </comment>
  </commentList>
</comments>
</file>

<file path=xl/comments3.xml><?xml version="1.0" encoding="utf-8"?>
<comments xmlns="http://schemas.openxmlformats.org/spreadsheetml/2006/main">
  <authors>
    <author>toshiba1</author>
  </authors>
  <commentList>
    <comment ref="B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C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D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E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F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G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H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I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J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K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L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M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N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O4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B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C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D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E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F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G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H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I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J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K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L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M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N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O46"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B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H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I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J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K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L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M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N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O47"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L48"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M48"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N48"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O48"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B49"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 ref="B50" authorId="0" shapeId="0">
      <text>
        <r>
          <rPr>
            <b/>
            <sz val="8"/>
            <color indexed="81"/>
            <rFont val="Tahoma"/>
            <family val="2"/>
          </rPr>
          <t>toshiba1:</t>
        </r>
        <r>
          <rPr>
            <sz val="8"/>
            <color indexed="81"/>
            <rFont val="Tahoma"/>
            <family val="2"/>
          </rPr>
          <t xml:space="preserve">
Incluir el importe sin vincular y meter también en DEDUCCIONES CONTABLES NO FISCALES
</t>
        </r>
      </text>
    </comment>
  </commentList>
</comments>
</file>

<file path=xl/comments4.xml><?xml version="1.0" encoding="utf-8"?>
<comments xmlns="http://schemas.openxmlformats.org/spreadsheetml/2006/main">
  <authors>
    <author>toshiba1</author>
  </authors>
  <commentList>
    <comment ref="E26" authorId="0" shapeId="0">
      <text>
        <r>
          <rPr>
            <b/>
            <sz val="8"/>
            <color indexed="81"/>
            <rFont val="Tahoma"/>
            <family val="2"/>
          </rPr>
          <t>toshiba1:</t>
        </r>
        <r>
          <rPr>
            <sz val="8"/>
            <color indexed="81"/>
            <rFont val="Tahoma"/>
            <family val="2"/>
          </rPr>
          <t xml:space="preserve">
Incluir el dato que resulte menor de las opciones 1 a 4, ó 0 si NO APLICA
</t>
        </r>
      </text>
    </comment>
    <comment ref="E84" authorId="0" shapeId="0">
      <text>
        <r>
          <rPr>
            <b/>
            <sz val="8"/>
            <color indexed="81"/>
            <rFont val="Tahoma"/>
            <family val="2"/>
          </rPr>
          <t>toshiba1:</t>
        </r>
        <r>
          <rPr>
            <sz val="8"/>
            <color indexed="81"/>
            <rFont val="Tahoma"/>
            <family val="2"/>
          </rPr>
          <t xml:space="preserve">
Buscar en la Tabla de la Ley del ISR para determinar los porcientos en que se va a cumular el inventario</t>
        </r>
      </text>
    </comment>
    <comment ref="C90"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1"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2"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3"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4"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5"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6"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7"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8"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99"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100"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 ref="C101" authorId="0" shapeId="0">
      <text>
        <r>
          <rPr>
            <b/>
            <sz val="8"/>
            <color indexed="81"/>
            <rFont val="Tahoma"/>
            <family val="2"/>
          </rPr>
          <t>toshiba1:</t>
        </r>
        <r>
          <rPr>
            <sz val="8"/>
            <color indexed="81"/>
            <rFont val="Tahoma"/>
            <family val="2"/>
          </rPr>
          <t xml:space="preserve">
Es el porciento que se tiene de la Tabla de la Ley del ISR para cada uno de los años.</t>
        </r>
      </text>
    </comment>
  </commentList>
</comments>
</file>

<file path=xl/sharedStrings.xml><?xml version="1.0" encoding="utf-8"?>
<sst xmlns="http://schemas.openxmlformats.org/spreadsheetml/2006/main" count="7594" uniqueCount="2999">
  <si>
    <t>¿Deben incluirse dentro del inventario al 31 de diciembre del 2004, aun y cuando no se han deducido?  SI, REGLA 3.4.17 DE LA RMF 2005</t>
  </si>
  <si>
    <t>Conforme a RMF 2005, Regla 3.4.17 se puede disminuir del costo el inventario por pagar a PF, aún y cuando lo correcto sería enviar como partida de conciliación sólo la parte del inventario que ya esta dentro del costo.</t>
  </si>
  <si>
    <t>PTU ¿se debe considerar en la base la acumulación del inventario?</t>
  </si>
  <si>
    <t>Factor de estimación de costo</t>
  </si>
  <si>
    <t>PTU con artículo 16 LISR</t>
  </si>
  <si>
    <t>PTU con utilidad fiscal</t>
  </si>
  <si>
    <t>Determinación de la PTU del ejercicio</t>
  </si>
  <si>
    <t>II-1. Inventario de importaciones directas con RMF</t>
  </si>
  <si>
    <t>Ingresos acumulables del mes</t>
  </si>
  <si>
    <t>Ingresos nominales</t>
  </si>
  <si>
    <t>ISR 29% PP ISR del mes</t>
  </si>
  <si>
    <t>Amortización de  Perdidas Fiscales</t>
  </si>
  <si>
    <t>Costo estimado de anticipos de clientes</t>
  </si>
  <si>
    <t>anticipos a proveedores</t>
  </si>
  <si>
    <t>LA OPCION INDICA "ACUMULAR EL INVENTARIO", POR LO QUE SE CONSIDERA UN INGRESO ACUMULABLE.</t>
  </si>
  <si>
    <t xml:space="preserve">EL TRABAJADOR ESTA SIENDO AFECTADO YA QUE LA ACUMULACION DEL INVENTARIO ESTA DISMINUIDA POR LAS PERDIDAS FISCALES </t>
  </si>
  <si>
    <t xml:space="preserve">inventario inicial acumulado en 2005  </t>
  </si>
  <si>
    <t>El inventario por acumular de 2006 en adelante es de (suma de los años que faltan)</t>
  </si>
  <si>
    <t>Inventario acumulado en 2005 más el inventario por acumular, para ver razonabilidad</t>
  </si>
  <si>
    <t>Nueva acum Inventario</t>
  </si>
  <si>
    <t>Acum inventario base</t>
  </si>
  <si>
    <t>% de acum</t>
  </si>
  <si>
    <t>Inventario disminuido en porciento</t>
  </si>
  <si>
    <t>Contable</t>
  </si>
  <si>
    <t>Acumulable fiscal</t>
  </si>
  <si>
    <t>Disminución de inventarios en 2005</t>
  </si>
  <si>
    <t>Inventario disminuido al cierre de 2005</t>
  </si>
  <si>
    <t>Inventario en 2006</t>
  </si>
  <si>
    <t>Disminución de inventarios en 2006</t>
  </si>
  <si>
    <t xml:space="preserve">Disminución de inventarios en 2007 </t>
  </si>
  <si>
    <t>Inventario en 2007</t>
  </si>
  <si>
    <t>Núm</t>
  </si>
  <si>
    <t>Acum inventario anterior</t>
  </si>
  <si>
    <t>Acumulación de la disminución del inventario de 2007</t>
  </si>
  <si>
    <t>Acumulación base cálculo de 2005 y 2006, que substituye a la acumulación inicial</t>
  </si>
  <si>
    <t>Acumulación de 2007 de la nueva base de acumulación de inventario</t>
  </si>
  <si>
    <t>Acumulación de inventarios en 2007</t>
  </si>
  <si>
    <t>inventario a acumular en 2007 era de</t>
  </si>
  <si>
    <t>El inventario por acumular de 2008 en adelante es de (suma de los años que faltan)</t>
  </si>
  <si>
    <t>Inventario acumulado a 2007 más el inventario por acumular, para ver razonabilidad</t>
  </si>
  <si>
    <t>Como no existe una disminución del inventario respecto de la última disminución, no se tiene efecto en el ejercicio y continua acumulandose el importe determinado en la última disminución.</t>
  </si>
  <si>
    <t>Como existe una nueva disminución del inventario respecto de la última disminución, se tiene efecto en el ejercicio y continua acumulandose el importe determinado en esta nueva disminución.</t>
  </si>
  <si>
    <t>Diferencia en promedio de importaciones directas de 2004 mayores a las de 2003 (II)</t>
  </si>
  <si>
    <t>Acumulación de inventario régimen de transición</t>
  </si>
  <si>
    <t>Acumulación de la disminución de inventario del ejercicio respecto de 2004</t>
  </si>
  <si>
    <t>Gastos financieros</t>
  </si>
  <si>
    <t>Productos financieros</t>
  </si>
  <si>
    <t>menos: Deducciones contables no fiscales</t>
  </si>
  <si>
    <t>más: Deducciones fiscales no contables</t>
  </si>
  <si>
    <t>más: Ingresos fiscales no contables</t>
  </si>
  <si>
    <t>menos: Ingresos contables no fiscales</t>
  </si>
  <si>
    <t>Acumulación diferida de inventarios a 2004</t>
  </si>
  <si>
    <t>Determinación de la utilidad fiscal base de pago provisional</t>
  </si>
  <si>
    <t>Importe por pagar (favor) en declaración anual</t>
  </si>
  <si>
    <t>INTERESES DEV QUE EXCEDEN VALOR DE MERCADO Y MORAT PAGADOS O NO</t>
  </si>
  <si>
    <t>V. Disminución de inventarios en 2005 (se debe acumular la disminución)</t>
  </si>
  <si>
    <t>VI. Acumulación en 2005 y posteriores, considerando la disminución del inventario a 2005</t>
  </si>
  <si>
    <t xml:space="preserve">VII. Aumento de inventarios en 2006 </t>
  </si>
  <si>
    <t xml:space="preserve">VIII. Disminución de inventarios en 2007 </t>
  </si>
  <si>
    <t>IX. Acumulación en 2007 y posteriores, considerando la disminución del inventario a 2007</t>
  </si>
  <si>
    <t>Comprobación de la operación:</t>
  </si>
  <si>
    <t>El efecto por disminución de inventario es de: La acumulación del ejercicio, menos la acumulación inicial.</t>
  </si>
  <si>
    <t>Saldo de anticipo de clientes sin IVA</t>
  </si>
  <si>
    <t>Ingreso acumulable</t>
  </si>
  <si>
    <t>Ventas del ejercicio</t>
  </si>
  <si>
    <t>Costo de ventas del ejercicio</t>
  </si>
  <si>
    <t>Factor de costo de lo vendido</t>
  </si>
  <si>
    <t>Cuadro 6. EFECTO DE LA DISMINUCIÓN DE LA PTU Y LAS TASAS DE ISR</t>
  </si>
  <si>
    <t>Inventario de Importación valuado a costos promedio a:</t>
  </si>
  <si>
    <t>Inventario Acumulable y aplicación de su reducción</t>
  </si>
  <si>
    <t>Costo estimado de anticipos de clientes en 2005 y 2006</t>
  </si>
  <si>
    <t>Anticipo de clientes al cierre del ejercicio</t>
  </si>
  <si>
    <t>A partir del 2005 ya no son deducibles los anticipos.</t>
  </si>
  <si>
    <t>Deducción autorizada</t>
  </si>
  <si>
    <t xml:space="preserve">Inventario disminuido al cierre de 2005 (el de 2006 fue mayor al de 2004) </t>
  </si>
  <si>
    <t xml:space="preserve">Deducción de inversiones (Depreciación fiscal)           </t>
  </si>
  <si>
    <t>Promedio de inventario de compras de importación</t>
  </si>
  <si>
    <t>Diferencia del promedio 2004 mayor a 2003</t>
  </si>
  <si>
    <t>Agosto</t>
  </si>
  <si>
    <t>1. Diferencia del promedio de inventarios 2004 mayor a 2003</t>
  </si>
  <si>
    <t>2. Diferencia de la suma de inventarios 2004 mayor a 2003</t>
  </si>
  <si>
    <t>3. Diferencia de la suma de inventarios promedio de 2004 mayor a 2003</t>
  </si>
  <si>
    <t>Últimos cuatro meses</t>
  </si>
  <si>
    <t>4. Diferencia inventarios 2004 mayor a 2003 valuado valor de última compra de 2004</t>
  </si>
  <si>
    <t>B. CIFRAS AL CIERRE DEL EJERCICIO</t>
  </si>
  <si>
    <t>SALDO PROMEDIO DE LOS CREDITOS</t>
  </si>
  <si>
    <t>SALDO PROMEDIO DE LAS DEUDAS</t>
  </si>
  <si>
    <t>COEFICIENTE DE UTILIDAD POR APLICAR EN EL EJERCICIO SIGUIENTE</t>
  </si>
  <si>
    <t>EN CASO DE SER CONTROLADA INDIQUE EL RFC DE LA CONTROLADORA</t>
  </si>
  <si>
    <t>UTILIDAD EN PARTICIPACIÓN SUBSIDIARIA</t>
  </si>
  <si>
    <t>Utilidad fiscal (perdida) (2) antes de los efectos de acumulación del inventario</t>
  </si>
  <si>
    <t xml:space="preserve">Utilidad fiscal (perdida) (1) </t>
  </si>
  <si>
    <t>Ajuste por inflación acumulable</t>
  </si>
  <si>
    <t>Ingresos Nominales</t>
  </si>
  <si>
    <t xml:space="preserve">CU </t>
  </si>
  <si>
    <t>Estado de resultados (histórico)</t>
  </si>
  <si>
    <t>CU para pagos provisionales del ejercicio siguiente (Dato para declaración anual)</t>
  </si>
  <si>
    <t>Utilidad (pérdida) en partic subsidiarias</t>
  </si>
  <si>
    <t>ISR, IMPAC y PTU</t>
  </si>
  <si>
    <t>C. DIVIDENDOS O UTILIDADES DISTRIBUIDOS</t>
  </si>
  <si>
    <t>D. INVERSIONES</t>
  </si>
  <si>
    <t>CONSTRUCCIONES</t>
  </si>
  <si>
    <t>MAQUINARIA Y EQUIPO</t>
  </si>
  <si>
    <t>MOBILIARIO Y EQUIPO DE OFICINA</t>
  </si>
  <si>
    <t xml:space="preserve">E. ESTADO DE RESULTADOS </t>
  </si>
  <si>
    <t>MAQUILAS</t>
  </si>
  <si>
    <t>RESULTADO POR POSICION MONETARIA</t>
  </si>
  <si>
    <t>OTRAS OPERACIONES FINANCIERAS</t>
  </si>
  <si>
    <t>INGRESOS POR PARTIDAS DISCONTINUAS Y EXTRAORDINARIAAS</t>
  </si>
  <si>
    <t>GASTOS POR PARTIDAS DISCONTINUAS Y EXTRAORDINARIAS</t>
  </si>
  <si>
    <t>EFECTOS DE REEXPRESION EXCEPTO RESULTADO POR POSICION MONETARIA</t>
  </si>
  <si>
    <t>UTILIDAD O PERDIDA NETA</t>
  </si>
  <si>
    <t>INDIQUE EL METODO PARA DETERMINAR EL VALOR DEL INVENTARIO BASE</t>
  </si>
  <si>
    <t>DATOS INFORMATIVOS</t>
  </si>
  <si>
    <t>MONTO DEL INVENTARIO INICIAL</t>
  </si>
  <si>
    <t>OPCION DE ACUMULACION DE INVENTARIOS</t>
  </si>
  <si>
    <t>INVENTARIO BASE AL 31 DE DICIEMBRE DE 2004</t>
  </si>
  <si>
    <t>PERDIDAS FISCALES PENDIENTES DE DISMINUIR AL 31 DE DICIEMBRE DE 2004</t>
  </si>
  <si>
    <t>DIFERENCIA DE LA COMPARACION DE INVENTARIOS DE IMPORTACION (2004 - 2003)</t>
  </si>
  <si>
    <t>VALOR DEL INVENTARIO ACUMULABLE DEL EJERCICIO QUE DECLARA</t>
  </si>
  <si>
    <t>PORCENTAJE DE ACUMULACION</t>
  </si>
  <si>
    <t>SISTEMAS Y BASES DE VALUACION</t>
  </si>
  <si>
    <t>METODOS DE VALUACION</t>
  </si>
  <si>
    <t>F.CONCILIACION ENTRE RESULTADO CONTABLE Y EL FISCAL</t>
  </si>
  <si>
    <t>EFECTOS DE REEXPRESION</t>
  </si>
  <si>
    <t>UTILIDAD O PERDIDA NETA HISTORICA</t>
  </si>
  <si>
    <t>INGRESOS FISCALES NO CONTABLES</t>
  </si>
  <si>
    <t>AJUSTE ANUAL POR INFLACION ACUMULABLE</t>
  </si>
  <si>
    <t>INTERESES MORATORIOS EFECTIVAMENTE COBRADOS</t>
  </si>
  <si>
    <t>GANANCIA EN ENAJENACION DE ACCIONES O POR REEMBOLSO DE CAPITAL</t>
  </si>
  <si>
    <t>GANANCIA EN LA ENAJENACION DE TERRENOS Y ACTIVO FIJO</t>
  </si>
  <si>
    <t>OTROS INGRESOS FISCALES NO CONTABLES</t>
  </si>
  <si>
    <t>DEDUCCIONES CONTABLES NO FISCALES</t>
  </si>
  <si>
    <t>DEPRECIACION Y AMORTIZACION CONTABLE</t>
  </si>
  <si>
    <t>GASTOS QUE NO REUNEN REQUISITOS FISCALES</t>
  </si>
  <si>
    <t>PERDIDA CONTABLE EN ENAJENACION DE ACTIVO FIJO</t>
  </si>
  <si>
    <t>PERDIDA EN PARTICIPACION SUBSIDIARIA</t>
  </si>
  <si>
    <t>OTRAS DEDUCCIONES CONTABLES NO FISCALES</t>
  </si>
  <si>
    <t>Cuadro 3. CUFIN Y DIVIDENDOS (FALTA ACTUALIZACIÓN POR INFLACIÓN)</t>
  </si>
  <si>
    <t>DEDUCCIONES FISCALES NO CONTABLES</t>
  </si>
  <si>
    <t>AJUSTE ANUAL POR INFLACION DEDUCIBLE</t>
  </si>
  <si>
    <t>COSTO DE LO VENDIDO FISCAL</t>
  </si>
  <si>
    <t>Por ciento en el que se acumulan los inventarios</t>
  </si>
  <si>
    <t>Utilidad fiscal (perdida)</t>
  </si>
  <si>
    <t>ISR acreditable pagado en dividendos</t>
  </si>
  <si>
    <t>No deducibles</t>
  </si>
  <si>
    <t>CUFIN al inicio del ejercicio</t>
  </si>
  <si>
    <t>CUFIN aplicada en pago de dividendos</t>
  </si>
  <si>
    <t>CUFIN al cierre del ejercicio</t>
  </si>
  <si>
    <t>Decreto de dividendos a pagar en el ejercicio.</t>
  </si>
  <si>
    <t>CUFIN</t>
  </si>
  <si>
    <t>Base de retención de ISR sobre dividendos</t>
  </si>
  <si>
    <t>Utilidad fiscal (perdida) con acumulación de inventarios, despues de PTU</t>
  </si>
  <si>
    <t>Cuadro 1. DETERMINACIÓN DEL ISR DEL EJERCICIO</t>
  </si>
  <si>
    <t>Cuadro 2. Determinación del 10% de PTU del ejercicio</t>
  </si>
  <si>
    <t>CUFIN del ejercicio</t>
  </si>
  <si>
    <t>Cuadro 4. DISTRIBUCIÓN DE DIVIDENDOS</t>
  </si>
  <si>
    <t>Dividendo neto recibido por el accionista</t>
  </si>
  <si>
    <t>ISR retenido en el pago de dividendos a los socios (Acreditable vs el ISR del ejercicio)</t>
  </si>
  <si>
    <t>Cuadro 5. Factores de piramidación de base de ISR</t>
  </si>
  <si>
    <t>Disminución de la UFIN por acreditamiento de ISR pagado en dividendos</t>
  </si>
  <si>
    <t>CUFIN al cierre del ejercicio antes de acreditamiento.</t>
  </si>
  <si>
    <t>Saldo anticipo a proveedores sin IVA</t>
  </si>
  <si>
    <t>DEDUCCION DE INVERSIONES</t>
  </si>
  <si>
    <t>ESTIMULO FISCAL POR LA DEDUCCION INMEDIATA DE INVERSIONES</t>
  </si>
  <si>
    <t>PERDIDA FISCAL EN LA ENAJENACION DE ACCIONES</t>
  </si>
  <si>
    <t>PERDIDA FISCAL EN LA ENAJENACION DE TERRENOS Y ACTIVO FIJO</t>
  </si>
  <si>
    <t>INTERESES MORATORIOS EFECTIVAMENTE PAGADOS</t>
  </si>
  <si>
    <t>OTRAS DEDUCCIONES FISCALES NO CONTABLES</t>
  </si>
  <si>
    <t>INGRESOS CONTABLES NO FISCALES</t>
  </si>
  <si>
    <t>INTERESES MORATORIOS DEVENGADOS A FAVOR COBRADOS O NO</t>
  </si>
  <si>
    <t>ANTICIPOS DE CLIENTES DE EJERCICIOS ANTERIORES</t>
  </si>
  <si>
    <t>SALDOS A FAVOR DE IMPUESTOS Y SU ACTUALIZACION</t>
  </si>
  <si>
    <t>UTILIDAD CONTABLE EN ENAJENACION DE ACTIVO FIJO</t>
  </si>
  <si>
    <t>UTILIDAD CONTABLE EN ENAJENACION DE ACCIONES</t>
  </si>
  <si>
    <t>UTILIDAD EN PARTICIPACION SUBSIDIARIA</t>
  </si>
  <si>
    <t>OTROS INGRESOS CONTABLES NO FISCALES</t>
  </si>
  <si>
    <t>G. DATOS DE ALGUNAS DEDUCCIONES AUTORIZADAS</t>
  </si>
  <si>
    <t>SUELDOS Y SALARIOS</t>
  </si>
  <si>
    <t>HONORARIOS PAGADOS A PERSONAS FISICAS</t>
  </si>
  <si>
    <t>REGALIAS Y ASISTENCIA TECNICA</t>
  </si>
  <si>
    <t>DONATIVOS OTORGADOS</t>
  </si>
  <si>
    <t>FLETES Y ACARREOS PAGADOS A PERSONAS FISICAS</t>
  </si>
  <si>
    <t>SEGUROS Y FIANZAS</t>
  </si>
  <si>
    <t>PERDIDA POR CREDITOS INCOBRABLES</t>
  </si>
  <si>
    <t>VIATICOS Y GASTOS DE VIAJE</t>
  </si>
  <si>
    <t>COMBUSTIBLES Y LUBRICANTES</t>
  </si>
  <si>
    <t>APORTACIONES SAR, INFONAVIT Y JUBILACIONES POR VEJEZ</t>
  </si>
  <si>
    <t>CUOTAS AL IMSS</t>
  </si>
  <si>
    <t>CONSUMO EN RESTAURANTES</t>
  </si>
  <si>
    <t>H.  ESTADO DE POSICION FINANCIERA (BALANCE)</t>
  </si>
  <si>
    <t>CONTRIBUCIONES A FAVOR</t>
  </si>
  <si>
    <t>OTROS ACTIVOS CIRCULANTES</t>
  </si>
  <si>
    <t>INVERSIONES EN ACCIONES</t>
  </si>
  <si>
    <t>TERRENOS</t>
  </si>
  <si>
    <t>EQUIPO DE TRANSPORTE</t>
  </si>
  <si>
    <t>OTROS ACTIVOS FIJOS</t>
  </si>
  <si>
    <t>DEPRECIACION ACUMULADA</t>
  </si>
  <si>
    <t>CARGOS Y GASTOS DIFERIDOS</t>
  </si>
  <si>
    <t>AMORTIZACION ACUMULADA</t>
  </si>
  <si>
    <t>SUMA ACTIVO</t>
  </si>
  <si>
    <t>CONTRIBUCIONES POR PAGAR</t>
  </si>
  <si>
    <t>OTROS PASIVOS</t>
  </si>
  <si>
    <t>SUMA PASIVO</t>
  </si>
  <si>
    <t>CAPITAL SOCIAL PROVENIENTE DE APORTACIONES</t>
  </si>
  <si>
    <t>CAPITAL SOCIAL PROVENIENTE DE CAPITALIZACION</t>
  </si>
  <si>
    <t>RESERVAS</t>
  </si>
  <si>
    <t>OTRAS CUENTAS DE CAPITAL</t>
  </si>
  <si>
    <t>APORTACIONES PARA FUTUROS AUMENTOS DE CAPITAL</t>
  </si>
  <si>
    <t>UTILIDADES ACUMULADAS</t>
  </si>
  <si>
    <t>UTILIDAD DEL EJERCICIO</t>
  </si>
  <si>
    <t>PERDIDAS ACUMULADAS</t>
  </si>
  <si>
    <t>PERDIDA DEL EJERCICIO</t>
  </si>
  <si>
    <t xml:space="preserve">INSUFICIENCIA EN LA ACTUALIZACION DEL CAPITAL </t>
  </si>
  <si>
    <t>ACTUALIZACION DEL CAPITAL CONTABLE</t>
  </si>
  <si>
    <t>SUMA EL CAPITAL CONTABLE</t>
  </si>
  <si>
    <t>SUMA PASIVO MAS CAPITAL CONTABLE</t>
  </si>
  <si>
    <t>IMPUESTO DETERMINADO</t>
  </si>
  <si>
    <t>IMPUESTO DETERMINADO ACTUALIZADO</t>
  </si>
  <si>
    <t>IMPUESTO CAUSADO DEL EJERCICIO</t>
  </si>
  <si>
    <t>ISR ACREDITADO DEL EJERCICIO</t>
  </si>
  <si>
    <t>OTROS ACREDITAMIENTOS</t>
  </si>
  <si>
    <t>ESTIMULO POR PROYECTOS EN INVESTIGACIÓN Y DESARROLLO TECNOLÓGICO, REALIZADO EN EL EJERCICIO</t>
  </si>
  <si>
    <t>IMPUESTO CORRESPONDIENTE A LA CONSOLIDACION FISCAL A CARGO</t>
  </si>
  <si>
    <t>IMPUESTO CORRESPONDIENTE A LA CONSOLIDACION FISCAL A FAVOR</t>
  </si>
  <si>
    <t>DIFERENCIA A CARGO</t>
  </si>
  <si>
    <t>SALDO A FAVOR DEL EJERCICIO</t>
  </si>
  <si>
    <t>ISR PAGADO EN EXCESO APLICADO CONTRA EL IMPAC</t>
  </si>
  <si>
    <t>IMPUESTO A LA VENTA DE BIENES Y SERVICIOS SUNTUARIOS ACREDITABLE</t>
  </si>
  <si>
    <t>IMPUESTO A CARGO DEL EJERCICIO</t>
  </si>
  <si>
    <t>IMPUESTO A FAVOR DEL EJERCICIO</t>
  </si>
  <si>
    <t>UTILIDAD O PERDIDA FISCAL ANTES DE PTU</t>
  </si>
  <si>
    <t>Determinación del resultado fiscal del ejercicio</t>
  </si>
  <si>
    <t>Ventas Nacionales</t>
  </si>
  <si>
    <t>Ventas del extranjero</t>
  </si>
  <si>
    <t>más: Compras de mercancia Nacionales</t>
  </si>
  <si>
    <t>más: Compras de mercancia Importación</t>
  </si>
  <si>
    <t>Fluctuación cambiaria a cargo</t>
  </si>
  <si>
    <t>Fluctuación cambiaria a favor</t>
  </si>
  <si>
    <t>Costo integral de financiamiento</t>
  </si>
  <si>
    <t>Otros gastos y otros productos</t>
  </si>
  <si>
    <t>A favor (cargo)</t>
  </si>
  <si>
    <t>Utilidad cambiaria</t>
  </si>
  <si>
    <t>Perdida cambiaria</t>
  </si>
  <si>
    <t>Costo estimado de anticipos de clientes del ejercicio anterior</t>
  </si>
  <si>
    <t>PERDIDA EN PARTICIPACIÓN SUBSIDIARIA</t>
  </si>
  <si>
    <t>ISR DIFERIDO DEL EJERCICIO</t>
  </si>
  <si>
    <t>PTU  DIFERIDO DEL EJERCICIO</t>
  </si>
  <si>
    <t>Mano de obra incluida en el inventario del ejercicio anterior</t>
  </si>
  <si>
    <t>DEDUCCIÓN INMEDIATA DE INVERSIONES</t>
  </si>
  <si>
    <t>PERDIDA FISCAL EN VENTA DE ACCIONES</t>
  </si>
  <si>
    <t>Suma</t>
  </si>
  <si>
    <t>Septiembre</t>
  </si>
  <si>
    <t>Octubre</t>
  </si>
  <si>
    <t>Noviembre</t>
  </si>
  <si>
    <t>Diciembre</t>
  </si>
  <si>
    <t>V</t>
  </si>
  <si>
    <t>a)</t>
  </si>
  <si>
    <t>b)</t>
  </si>
  <si>
    <t>c)</t>
  </si>
  <si>
    <t>Inventario</t>
  </si>
  <si>
    <t>Compras netas (i)</t>
  </si>
  <si>
    <t>Inventario promedio (ii)</t>
  </si>
  <si>
    <t>Año</t>
  </si>
  <si>
    <t>Diferencia, 2004 mayor a 2003</t>
  </si>
  <si>
    <t>Utilidad fiscal (perdida) con acumulación de inventarios (Base PTU)</t>
  </si>
  <si>
    <t>Entre número de años</t>
  </si>
  <si>
    <t>Base</t>
  </si>
  <si>
    <t>tasa ISR %</t>
  </si>
  <si>
    <t>Neto</t>
  </si>
  <si>
    <t>factor (1)</t>
  </si>
  <si>
    <t>factor (2)</t>
  </si>
  <si>
    <t>PTU deucible</t>
  </si>
  <si>
    <t>Base ISR</t>
  </si>
  <si>
    <t xml:space="preserve">ISR </t>
  </si>
  <si>
    <t>PTU 10%</t>
  </si>
  <si>
    <t>ISR y PTU</t>
  </si>
  <si>
    <t>Ventas netas</t>
  </si>
  <si>
    <t>Tasa de ISR</t>
  </si>
  <si>
    <t>Utilidad fiscal</t>
  </si>
  <si>
    <t>Inventario base 2004</t>
  </si>
  <si>
    <t>Costo de compra de la mercancia vendida</t>
  </si>
  <si>
    <t>Inventario en aduana del ejercicio anterior</t>
  </si>
  <si>
    <t>Inventario por pagar a PF del ejercicio anterior</t>
  </si>
  <si>
    <t>PERDIDA CONTABLE ENAJENACION ACCIONES</t>
  </si>
  <si>
    <t>REGLA 106 de 1993, INVENTARIOS 1986 Ó 1988</t>
  </si>
  <si>
    <t>Depreciación contable dentro del inventario al cierre del ejercicio</t>
  </si>
  <si>
    <t>Mano de obra en el costo de lo vendido y en inventarios</t>
  </si>
  <si>
    <t>Ajuste anual por inflación</t>
  </si>
  <si>
    <t>Saldo promedio de los créditos</t>
  </si>
  <si>
    <t>Saldo promedio de las deudas</t>
  </si>
  <si>
    <t>Base de ajuste deducible (acumulable)</t>
  </si>
  <si>
    <t>INPC diciembre del ejercicio</t>
  </si>
  <si>
    <t>INPC diciembre del ejercicio anterior</t>
  </si>
  <si>
    <t>FAP Inflación del ejercicio</t>
  </si>
  <si>
    <t>Ajuste por inflación deducible</t>
  </si>
  <si>
    <t>No Aplica</t>
  </si>
  <si>
    <t>Empresa Comercial, SA de CV</t>
  </si>
  <si>
    <t>Ventas</t>
  </si>
  <si>
    <t>Menos:</t>
  </si>
  <si>
    <t>Descuentos sobre ventas</t>
  </si>
  <si>
    <t>Devoluciones sobre ventas</t>
  </si>
  <si>
    <t>Rebajas sobre ventas</t>
  </si>
  <si>
    <t>Inventario inicial de mercancias</t>
  </si>
  <si>
    <t>más: Compras de mercancia</t>
  </si>
  <si>
    <t>menos:Descuentos sobre compras</t>
  </si>
  <si>
    <t>menos: Devoluciones sobre compras</t>
  </si>
  <si>
    <t>más: Gastos de compra</t>
  </si>
  <si>
    <t>Compras netas</t>
  </si>
  <si>
    <t>Mercancia disponible</t>
  </si>
  <si>
    <t>menos: Inventario final de mercancias</t>
  </si>
  <si>
    <t>Utilidad bruta</t>
  </si>
  <si>
    <t>Costo de producción de lo vendido</t>
  </si>
  <si>
    <t>Gastos de operación</t>
  </si>
  <si>
    <t>Gastos de venta</t>
  </si>
  <si>
    <t xml:space="preserve">Gastos de administración </t>
  </si>
  <si>
    <t>Utilidad en operación</t>
  </si>
  <si>
    <t>Utilidad antes de impuestos y PTU</t>
  </si>
  <si>
    <t>Estado de costo de producción y costo de producción de lo vendido</t>
  </si>
  <si>
    <t>Por el periodo comprendido entre el 1o de enero y el 31 de diciembre del 2004</t>
  </si>
  <si>
    <t>Estado de resultados</t>
  </si>
  <si>
    <t>Inventario inicial de producción en proceso</t>
  </si>
  <si>
    <t>Inventario inicial de materia prima</t>
  </si>
  <si>
    <t>Más: Materia prima utilizada en el periodo</t>
  </si>
  <si>
    <t>Materia prima disponible</t>
  </si>
  <si>
    <t>menos: Inventario final de materia prima</t>
  </si>
  <si>
    <t>más: Mano de obra directa</t>
  </si>
  <si>
    <t>Costo directo (Costo primo)</t>
  </si>
  <si>
    <t>más: Gastos indirectos de fabricación</t>
  </si>
  <si>
    <t>Costo incurrido</t>
  </si>
  <si>
    <t>Compras netas de materia prima</t>
  </si>
  <si>
    <t>menos: Inventario final de producción en proceso</t>
  </si>
  <si>
    <t>Costo de producción de artículos terminados</t>
  </si>
  <si>
    <t>más: Inventario inicial de productos terminados</t>
  </si>
  <si>
    <t>menos: Inventario final de productos terminados</t>
  </si>
  <si>
    <t>Costo de producción de lo vendido (1)</t>
  </si>
  <si>
    <t>Empresa Industrial, SA de CV</t>
  </si>
  <si>
    <t>Costo de compra de la mercancia vendida (1)</t>
  </si>
  <si>
    <t>Empresa Servicios, SA de CV</t>
  </si>
  <si>
    <t>Ingresos por servicios prestados</t>
  </si>
  <si>
    <t>Descuentos sobre servicios</t>
  </si>
  <si>
    <t>Devoluciones sobre servicios</t>
  </si>
  <si>
    <t>Rebajas sobre servicios</t>
  </si>
  <si>
    <t>Ingresos por servicios netos</t>
  </si>
  <si>
    <t>Notas:</t>
  </si>
  <si>
    <t>1. Conforme al Boletín B-3 el costo se integra por aquellos costos que se identifican razonablemente en forma directa con el servicio prestado.</t>
  </si>
  <si>
    <t>Nota: (1) Es el costo de lo vendido a que se refiere la ley del ISR</t>
  </si>
  <si>
    <t>Nota: (1) Es el costo de lo vendido a que se refiere la ley del ISR, y se determina conforme al Estado de Costo de Producción de lo vendido.</t>
  </si>
  <si>
    <t>Costo de los servicios prestados (1)</t>
  </si>
  <si>
    <t>2. Cuando se trata de servicios que tienen un ingreso que se difiere hasta su cobro, el costo de dichos servicios debe diferirse también hasta que se acumule el ingreso, artículo 45-E de la Ley del ISR.</t>
  </si>
  <si>
    <t>Suma inventario último cuatrimestre</t>
  </si>
  <si>
    <t>C O N C E P T O</t>
  </si>
  <si>
    <t>Total</t>
  </si>
  <si>
    <t>Ingresos nominales periodo</t>
  </si>
  <si>
    <t>CU</t>
  </si>
  <si>
    <t>UFE del periodo</t>
  </si>
  <si>
    <t>UFE del Periodo base</t>
  </si>
  <si>
    <t>Diferencia</t>
  </si>
  <si>
    <t>diferencia acumulada</t>
  </si>
  <si>
    <t>Concepto</t>
  </si>
  <si>
    <t>Acumulación de inventarios</t>
  </si>
  <si>
    <t>Costo de lo vendido</t>
  </si>
  <si>
    <t>Ingresos acumulables</t>
  </si>
  <si>
    <t>Deducciones autorizadas</t>
  </si>
  <si>
    <t>Amortización pérdidas fiscales</t>
  </si>
  <si>
    <t>Resultado fiscal</t>
  </si>
  <si>
    <t>ISR causado del ejercicio</t>
  </si>
  <si>
    <t>Inventario al 31 de diciembre</t>
  </si>
  <si>
    <t>Compras netas del ejercicio</t>
  </si>
  <si>
    <t>Pérdidas Fiscales actualizadas a diciembre de 2004</t>
  </si>
  <si>
    <t>Inventario de importación valuado a última compra de 2004</t>
  </si>
  <si>
    <t>Ventas Netas del Ejercicio</t>
  </si>
  <si>
    <t>I. Determinación del Inventario Acumulable en forma diferida</t>
  </si>
  <si>
    <t>Disminución del inventario base</t>
  </si>
  <si>
    <t>Inventario Acumulable</t>
  </si>
  <si>
    <t>II. Inventario de importaciones directas</t>
  </si>
  <si>
    <t>Últimos cuatro meses del año</t>
  </si>
  <si>
    <t>Entre Número de meses</t>
  </si>
  <si>
    <t>Se disminuye a la acumulación diferida del inventario 2004 y se acumula en 2005, inclusive en pagos provisionales</t>
  </si>
  <si>
    <t>Inventario valuado a última compra</t>
  </si>
  <si>
    <t>III: Índice promedio de rotación de inventarios</t>
  </si>
  <si>
    <t>Índice de Rotación de inventarios i/ii</t>
  </si>
  <si>
    <t>Índice promedio de rotación de inventarios, para ubicarlo en Tabla de Ley ISR</t>
  </si>
  <si>
    <t>IV. Índice promedio de rotación de inventarios de 3 a 4, en Table de la Ley del ISR al inventario acumulable</t>
  </si>
  <si>
    <t>Número de Años</t>
  </si>
  <si>
    <t>% de Acumulación</t>
  </si>
  <si>
    <t>Acumulación Inventario</t>
  </si>
  <si>
    <t>Inventario al cierre de 2005</t>
  </si>
  <si>
    <t>Se recalcula el diferimiento de la acumulación del inventario y la disminución se aplica en el ejercicio en que se reduce el inventario</t>
  </si>
  <si>
    <t>Sumas</t>
  </si>
  <si>
    <t>Acumulación base cálculo de 2005, que substituye a la acumulación inicial</t>
  </si>
  <si>
    <t>Acumulación de inventarios en 2005</t>
  </si>
  <si>
    <t>Por el periodo comprendido entre el 1o de enero y el 31 de diciembre del:</t>
  </si>
  <si>
    <t>UFE base pago provisional</t>
  </si>
  <si>
    <t>ISR retenido a Mi Empresa</t>
  </si>
  <si>
    <t>Pagos Provisionales anteriores</t>
  </si>
  <si>
    <t>Pago Provisional del Mes</t>
  </si>
  <si>
    <t>Pago Provisional declarado</t>
  </si>
  <si>
    <t>Acumulación inventario de importación de 2004 que excede a 2003</t>
  </si>
  <si>
    <t>Acumulación disminución inventario respecto de 2004</t>
  </si>
  <si>
    <t>Pérdidas fiscales actualizadas a diciembre de 2004</t>
  </si>
  <si>
    <t>Datos requeridos</t>
  </si>
  <si>
    <t>Inventario al 31 de diciembre de 2004 valuado con PEPS o con el sistema que se tenga en contabilidad</t>
  </si>
  <si>
    <t>SISTEMA DE COSTEO IGUAL EL CONTABLE Y EL FISCAL</t>
  </si>
  <si>
    <t>Acumulación de la disminución del inventario de 2005, es la diferencia entre el cálculo inicial y el nuevo</t>
  </si>
  <si>
    <t>Pagos provisionales conjuntos</t>
  </si>
  <si>
    <t>Materia prima utilizada</t>
  </si>
  <si>
    <t>Nota: (1) En el caso de prestación de servicios, sólo se ven afectadas aquellas empresas que incluyen bienes en el servicio, pero únicamente por esos inventarios.</t>
  </si>
  <si>
    <t>3. Existen casos en que el ingreso debe acumularse desde que se presta el servicio, caso en el que se debe provisionar el ingreso aún y cuando no se haya facturado, para poder hacer deducible el costo que le corresponde.</t>
  </si>
  <si>
    <t>Costo de la mercancia vendida</t>
  </si>
  <si>
    <t>Otros gastos</t>
  </si>
  <si>
    <t>Otros productos</t>
  </si>
  <si>
    <t>ISR de ejercicio</t>
  </si>
  <si>
    <t>ISR diferido del ejercicio</t>
  </si>
  <si>
    <t>PTU del ejercicio</t>
  </si>
  <si>
    <t>PTU diferida del ejercicio</t>
  </si>
  <si>
    <t>Resultado del ejercicio (pérdida)</t>
  </si>
  <si>
    <t>Costo integral de financiamiento (a favor)</t>
  </si>
  <si>
    <t>Estado de costo de los servicios prestados</t>
  </si>
  <si>
    <t>Restaurant</t>
  </si>
  <si>
    <t>Bar</t>
  </si>
  <si>
    <t>Banquetes</t>
  </si>
  <si>
    <t>Productos incluidos en los servicios</t>
  </si>
  <si>
    <t>Inventario inicial</t>
  </si>
  <si>
    <t>Inventario final</t>
  </si>
  <si>
    <t>compras netas</t>
  </si>
  <si>
    <t>Costo de productos incluidos en los servicios</t>
  </si>
  <si>
    <t>Costo de equipos y mobiliario</t>
  </si>
  <si>
    <t>Mano de obra directa</t>
  </si>
  <si>
    <t>Otros gastos de operación</t>
  </si>
  <si>
    <t>Utlidad bruta (perdida)</t>
  </si>
  <si>
    <t>Participación en la utilidad</t>
  </si>
  <si>
    <t>CONCEPTO</t>
  </si>
  <si>
    <t>UTILIDAD NETA DEL EJERCICIO</t>
  </si>
  <si>
    <t>PERDIDA FISCAL</t>
  </si>
  <si>
    <t>UTILIDAD FISCAL</t>
  </si>
  <si>
    <t>AMORTIZACIÓN   DE   PERDIDAS   DE   EJERCICIOS ANTERIORES</t>
  </si>
  <si>
    <t>RESULTADO FISCAL</t>
  </si>
  <si>
    <t>ISR Causado</t>
  </si>
  <si>
    <t>IMPAC del ejercicio</t>
  </si>
  <si>
    <t>AJUSTE POR INFLACIÓN ACUMULABLE</t>
  </si>
  <si>
    <t>ANTICIPOS DE CLIENTES</t>
  </si>
  <si>
    <t>TOTAL</t>
  </si>
  <si>
    <t>IMPUESTO SOBRE LA RENTA</t>
  </si>
  <si>
    <t>IMPUESTO AL ACTIVO</t>
  </si>
  <si>
    <t>PARTICIPACIÓN DE UTILIDADES</t>
  </si>
  <si>
    <t>GASTOS NO DEDUCIBLES</t>
  </si>
  <si>
    <t>PROVISIONES</t>
  </si>
  <si>
    <t>PERDIDA CONTABLE EN ENAJENACION DE ACCIONES</t>
  </si>
  <si>
    <t>PERDIDA CONTABLE EN VENTA DE ACTIVO</t>
  </si>
  <si>
    <t>COMPRAS IMPORTACION  PITEX NO RETORNADAS AL EXTRANJERO</t>
  </si>
  <si>
    <t>PTU disminuible pagada en el ejercicio</t>
  </si>
  <si>
    <t>Depreciación contable en el inventario del ejercicio anterior</t>
  </si>
  <si>
    <t>Directo</t>
  </si>
  <si>
    <t>Inventario por pagar a PF  (Disminuye el costo)</t>
  </si>
  <si>
    <t>COMPRAS NETAS</t>
  </si>
  <si>
    <t>GASTOS DE FABRICACIÓN</t>
  </si>
  <si>
    <t>DEPRECIACIÓN FISCAL</t>
  </si>
  <si>
    <t>AMORTIZACIÓN FISCAL</t>
  </si>
  <si>
    <t>PERDIDA FISCAL EN VENTA DE ACTIVO</t>
  </si>
  <si>
    <t>AJUSTE ANUAL POR INFLACIÓN DEDUCIBLE</t>
  </si>
  <si>
    <t>HONORARIOS, RENTAS E INTERESES QUE AFECTARON EL RESULTADO DEL EJERCICIO ANTERIOR PAGADOS EN ESTE</t>
  </si>
  <si>
    <t>ANTICIPOS DE CLIENTES DEL EJERCICIO ANTERIOR</t>
  </si>
  <si>
    <t>UTILIDAD CONTABLE EN VENTA DE ACCIONES</t>
  </si>
  <si>
    <t>UTILIDAD CONTABLE EN VENTA DE ACTIVO</t>
  </si>
  <si>
    <t>CONCILIACION ENTRE EL RESULTADO CONTABLE Y FISCAL PARA EFECTOS DEL ISR</t>
  </si>
  <si>
    <t>IMPAC por pagar (mayor al ISR)</t>
  </si>
  <si>
    <t>ACTUALIZACIÓN DE IMPUESTOS A FAVOR</t>
  </si>
  <si>
    <t>MAS-MENOS: EFECTO  INFLACION DEL BOLETIN B-10</t>
  </si>
  <si>
    <t>más: compra de inventarios por pagar a PF del año anterior</t>
  </si>
  <si>
    <t>menos: compra de inventarios por pagar a PF del ejercicio</t>
  </si>
  <si>
    <t>Ajuste al costo de lo vendido deducible</t>
  </si>
  <si>
    <t>Depreciación incluida en el inventario de la producción</t>
  </si>
  <si>
    <t>Depreciación contable</t>
  </si>
  <si>
    <t>Depreciación incluida en el costo, dentro de los gastos de fabricación.</t>
  </si>
  <si>
    <t>Depreciación incluida en gastos</t>
  </si>
  <si>
    <t>Total mano de obra</t>
  </si>
  <si>
    <t>Mano de obra incluida en el inventario de la producción</t>
  </si>
  <si>
    <t>Mano de obra incluida en el costo, dentro de los gastos de fabricación.</t>
  </si>
  <si>
    <t>Mano de obra incluida en gastos</t>
  </si>
  <si>
    <t>Utilidad fiscal antes de la acumulación del inventario</t>
  </si>
  <si>
    <t>Inventario acumulable</t>
  </si>
  <si>
    <t>IC</t>
  </si>
  <si>
    <t>IF</t>
  </si>
  <si>
    <t>Acumulación de la disminución del inventario</t>
  </si>
  <si>
    <t xml:space="preserve">Utilidad fiscal  </t>
  </si>
  <si>
    <t>PTU 10% de la utilidad fiscal antes de la acumulación del inventario.</t>
  </si>
  <si>
    <t>PTU 10% de la utilidad fiscal</t>
  </si>
  <si>
    <t xml:space="preserve">1. Determinación del Resultado fiscal del Ejercicio </t>
  </si>
  <si>
    <t>2 INGRESOS FISCALES NO CONTABLES</t>
  </si>
  <si>
    <t>3  DEDUCCIONES CONTABLES NO FISCALES</t>
  </si>
  <si>
    <t>4  DEDUCCIONES FISCALES NO CONTABLES</t>
  </si>
  <si>
    <t>5  INGRESOS CONTABLES NO FISCALES</t>
  </si>
  <si>
    <t>UTILIDAD (PERDIDA) NETA HISTORICA</t>
  </si>
  <si>
    <t>RESULTADO FAVORABLE (-)</t>
  </si>
  <si>
    <t>RESULTADO DESFAVORABLE (+)</t>
  </si>
  <si>
    <t>PERDIDA DEL EJERCICIO (-)</t>
  </si>
  <si>
    <t>Diferencia de inventarios de importación 2004 mayor a 2003 (Solo en 2005)</t>
  </si>
  <si>
    <t>Anticipos a proveedores del ejercicio anterior</t>
  </si>
  <si>
    <t>Depreciación contable dentro del costo de ventas del ejercicio</t>
  </si>
  <si>
    <t>COSTO DE VENTAS (Hasta 2004)</t>
  </si>
  <si>
    <t>Otras consideraciones que debemos tomar en cuenta para la CCF</t>
  </si>
  <si>
    <t>Anticipo de clientes.</t>
  </si>
  <si>
    <t>Recibimos anticipos de nuestros clientes por el 10% del pedido.</t>
  </si>
  <si>
    <t>Saldo de la cuenta de anticipo de clientes a diciembre, sin IVA.</t>
  </si>
  <si>
    <t>Se acumula sólo el importe del anticipo y además se incluye</t>
  </si>
  <si>
    <t>un "Costo estimado" Regla RMF 2005 número 3.4.19</t>
  </si>
  <si>
    <t>Índice promedio de rotación de inventarios</t>
  </si>
  <si>
    <t>Más de 15</t>
  </si>
  <si>
    <t>De más 10 a 15</t>
  </si>
  <si>
    <t>De más de 6 a 8</t>
  </si>
  <si>
    <t>De más de 4 a 6</t>
  </si>
  <si>
    <t>De más de 3 a 4</t>
  </si>
  <si>
    <t>De más de 2 a 3</t>
  </si>
  <si>
    <t>De más de 1 a 2</t>
  </si>
  <si>
    <t>De más de 0 a 1</t>
  </si>
  <si>
    <t xml:space="preserve">Transitorios 2005, Artículo Tercero, V </t>
  </si>
  <si>
    <t>Anticipo a Proveedores</t>
  </si>
  <si>
    <t xml:space="preserve">Inventarios por pagar a personas físicas </t>
  </si>
  <si>
    <t>Depreciación contable y fiscal en el costo</t>
  </si>
  <si>
    <t>Más de 8 a 10</t>
  </si>
  <si>
    <t>El efecto por disminución de inventario es de:</t>
  </si>
  <si>
    <t>Por el periodo comprendido entre el 1o de enero y el 31 de diciembre del 2005</t>
  </si>
  <si>
    <t>Hasta 2004 tenemos anticipos a proveedores que pueden hacerse deducibles en tanto se tenga la factura en el ejercicio siguiente, siguiendo la mecánica de las compras deducibles.</t>
  </si>
  <si>
    <t>Regla 106 de 1993 actualizada a diciembre 2004</t>
  </si>
  <si>
    <t>Deducción de Inventarios a 1986, regla 106 de 1993</t>
  </si>
  <si>
    <t>En cuanto a la deducción de la depreciación contable que se encuentra incluida en el costo de lo vendido, debemos aplicar la deducción fiscal hasta que se venda cada uno de los productos, lo que resulta en muchos casos practicamente imposible.</t>
  </si>
  <si>
    <t>En cuanto a la deducción de la mano de obra que se encuentra incluida en el costo de lo vendido, debemos aplicar la deducción fiscal hasta que se venda cada uno de los productos, lo que también resulta en muchos casos practicamente imposible.</t>
  </si>
  <si>
    <t>Sí aplica</t>
  </si>
  <si>
    <t>Con la opción de la Regla 3.4.16 de la RMF 2005, podemos optar por considerar a la depreciación como un gasto de producción fijo, llevando la depreciación por el método de linea recta, y por tanto deducirla en el ejercicio.</t>
  </si>
  <si>
    <t>DEPRECIACIÓN CONTABLE (Gastos)</t>
  </si>
  <si>
    <t>MANO DE OBRA incluida en el inventario</t>
  </si>
  <si>
    <t>Inventarios en aduana al cierre del ejercicio</t>
  </si>
  <si>
    <t>Si se debe considerar, ya que las compras en su momento disminuyeron la base de PTU.</t>
  </si>
  <si>
    <t>Los inventarios que no tienen pedimento al cierre del ejercicio no son deducibles como compras, hasta el 2004.</t>
  </si>
  <si>
    <t>¿Juegan para la determinación de la diferencia de inventarios de importación?</t>
  </si>
  <si>
    <t>¿Deben incluirse dentro del inventario al 31 de diciembre del 2004, aun y cuando no se han deducido?</t>
  </si>
  <si>
    <t>La mecánica general implicaba considerar estas compras deducibles en el ejercicio en que tuviesen su pedimento.</t>
  </si>
  <si>
    <t>más: Inventarios en aduana del año anterior</t>
  </si>
  <si>
    <t>menos: Inventarios en aduana del ejercicio</t>
  </si>
  <si>
    <t>Compras deducibles del ejercicio</t>
  </si>
  <si>
    <t>¿Juegan para determinar si se disminuyó el inventario de 2005?</t>
  </si>
  <si>
    <t>Los inventarios que se deben a personas físicas al cierre del ejercicio no son deducibles como compras, hasta el 2004.</t>
  </si>
  <si>
    <t>La mecánica general implicaba considerar estas compras deducibles en el ejercicio en que efectivamente se pagan.</t>
  </si>
  <si>
    <t>IETU del ejercicio</t>
  </si>
  <si>
    <t>ISR causado antes de acred de ISR pagado en dividendos</t>
  </si>
  <si>
    <t>ISR 28% PP ISR del mes</t>
  </si>
  <si>
    <t>Cuadro de la Ley del ISR</t>
  </si>
  <si>
    <t>DECLARACION DEL EJERCICIO PERSONAS MORALES</t>
  </si>
  <si>
    <t>DATOS DE IDENTIFICACIÓN</t>
  </si>
  <si>
    <t>REGISTRO FEDERAL DE CONTRIBUYENTES</t>
  </si>
  <si>
    <t>DENOMINACIÒN O RAZÓN SOCIAL</t>
  </si>
  <si>
    <t>RFC DEL REPRESENTANTE LEGAL</t>
  </si>
  <si>
    <t>CURP DEL REPRESENTANTE LEGAL</t>
  </si>
  <si>
    <t>APELLIDO PATERNO, MATERNO Y NOMBRE DEL REPRESENTANTE LEGAL</t>
  </si>
  <si>
    <t>EJERCICIO</t>
  </si>
  <si>
    <t>&lt;Sin Selección&gt;</t>
  </si>
  <si>
    <t>INDIQUE SI SE TRATA DE LA ÚLTIMA DECLARACIÓN DEL EJERCICIO DE LIQUIDACIÓN</t>
  </si>
  <si>
    <t>DECLARACIÓN</t>
  </si>
  <si>
    <t>NUMERO DE OPERACIÓN DE LA DECLARACION INMEDIATA ANTERIOR EN CASO DE COMPLEMENTARIA</t>
  </si>
  <si>
    <t>Aplica</t>
  </si>
  <si>
    <t>PERDIDAS FISCALES DE EJERCICIOS ANTERIORES PENDIENTES DE AMORTIZAR ACTUALIZADAS</t>
  </si>
  <si>
    <t>SALDO ACTUALIZADO DE LA CUENTA DE CAPITAL DE APORTACION (CUCA)</t>
  </si>
  <si>
    <t>NO PROVENIENTES DE LA CUFIN NI CUFINRE EN EFECTIVO</t>
  </si>
  <si>
    <t>NO PROVENIENTES DE LA CUFIN NI CUFINRE EN ACCIONES</t>
  </si>
  <si>
    <t>MONTO DEL IMPUESTO PAGADO QUE NO PROVIENE DE LA CUFIN NI CUNFINRE</t>
  </si>
  <si>
    <t>MONTO DEL IMPUESTO PAGADO DE LAS UTILIDADES PROVENIENTES DE LA CUFINRE</t>
  </si>
  <si>
    <t>ADQUISICIONES EN EL EJERCICIO</t>
  </si>
  <si>
    <t>EQUIPO DE COMPUTO</t>
  </si>
  <si>
    <t>VENTAS Y/O SERVICIOS NACIONALES (PARTES RELACIONADAS)</t>
  </si>
  <si>
    <t>VENTAS Y/O SERVICIOS NACIONALES (PARTES NO RELACIONADAS)</t>
  </si>
  <si>
    <t>VENTAS Y/O SERVICIOS NACIONALES TOTAL</t>
  </si>
  <si>
    <t>VENTAS Y/O SERVICIOS EXTRANJEROS (PARTES RELACIONADAS)</t>
  </si>
  <si>
    <t>VENTAS Y/O SERVICIOS EXTRANJEROS (PARTES NO RELACIONADAS)</t>
  </si>
  <si>
    <t>VENTAS Y/O SERVICIOS EXTRANJEROS TOTAL</t>
  </si>
  <si>
    <t>DEVOLUCIONES, DESCUENTOS Y BONIFICACIONES SOBRE VENTAS NACIONALES (PARTES RELACIONADAS)</t>
  </si>
  <si>
    <t>DEVOLUCIONES, DESCUENTOS Y BONIFICACIONES SOBRE VENTAS NACIONALES (PARTES NO RELACIONADAS)</t>
  </si>
  <si>
    <t>DEVOLUCIONES, DESCUENTOS Y BONIFICACIONES SOBRE VENTAS NACIONALES TOTAL</t>
  </si>
  <si>
    <t>DEVOLUCIONES, DESCUENTOS Y BONIFICACIONES SOBRE VENTAS AL EXTRANJERO (PARTES RELACIONADAS)</t>
  </si>
  <si>
    <t>DEVOLUCIONES, DESCUENTOS Y BONIFICACIONES SOBRE VENTAS AL EXTRANJERO (PARTES NO RELACIONADAS)</t>
  </si>
  <si>
    <t>DEVOLUCIONES, DESCUENTOS Y BONIFICACIONES SOBRE VENTAS AL EXTRANJERO TOTAL</t>
  </si>
  <si>
    <t>INGRESOS NETOS (PARTES RELACIONADAS)</t>
  </si>
  <si>
    <t>INGRESOS NETOS (PARTES NO RELACIONADAS)</t>
  </si>
  <si>
    <t>INGRESOS NETOS (TOTAL)</t>
  </si>
  <si>
    <t xml:space="preserve">INVENTARIO INICIAL (TOTAL) </t>
  </si>
  <si>
    <t>COMPRAS NETAS NACIONALES (PARTES RELACIONADAS)</t>
  </si>
  <si>
    <t>COMPRAS NETAS NACIONALES (PARTES NO RELACIONADAS)</t>
  </si>
  <si>
    <t>COMPRAS NETAS NACIONALES (TOTAL)</t>
  </si>
  <si>
    <t>COMPRAS NETAS DE IMPORTACION (PARTES RELACIONADAS)</t>
  </si>
  <si>
    <t>COMPRAS NETAS DE IMPORTACION (PARTES NO RELACIONADAS)</t>
  </si>
  <si>
    <t>COMPRAS NETAS DE IMPORTACION (TOTAL)</t>
  </si>
  <si>
    <t>INVENTARIO FINAL (TOTAL)</t>
  </si>
  <si>
    <t>COSTO DE MERCANCIAS TOTAL</t>
  </si>
  <si>
    <t>MANO DE OBRA (PARTES RELACIONADAS)</t>
  </si>
  <si>
    <t>MANO DE OBRA (PARTES NO RELACIONADAS)</t>
  </si>
  <si>
    <t>MANO DE OBRA (TOTAL)</t>
  </si>
  <si>
    <t>MAQUILAS (PARTES RELACIONADAS)</t>
  </si>
  <si>
    <t>MAQUILAS (PARTES NO RELACIONADAS)</t>
  </si>
  <si>
    <t>MAQUILAS (TOTAL)</t>
  </si>
  <si>
    <t>GASTOS INDIRECTOS DE FABRICACION (PARTES RELACIONADAS)</t>
  </si>
  <si>
    <t>GASTOS INDIRECTOS DE FABRICACION (PARTES NO RELACIONADAS)</t>
  </si>
  <si>
    <t>GASTOS INDIRECTOS DE FABRICACION (TOTAL)</t>
  </si>
  <si>
    <t>COSTO DE VENTAS Y/O SERVICIOS TOTAL</t>
  </si>
  <si>
    <t>UTILIDAD BRUTA TOTAL</t>
  </si>
  <si>
    <t>PERDIDA BRUTA TOTAL</t>
  </si>
  <si>
    <t>GASTOS DE OPERACIÓN (PARTES RELACIONADAS)</t>
  </si>
  <si>
    <t>GASTOS DE OPERACIÓN (PARTES NO RELACIONADAS)</t>
  </si>
  <si>
    <t>GASTOS DE OPERACIÓN (TOTAL)</t>
  </si>
  <si>
    <t>UTILIDAD DE OPERACIÓN (TOTAL)</t>
  </si>
  <si>
    <t>PERDIDA DE OPERACIÓN (TOTAL)</t>
  </si>
  <si>
    <t>INTERESES DEVENGADOS A FAVOR NACIONALES (PARTES RELACIONADAS)</t>
  </si>
  <si>
    <t>INTERESES DEVENGADOS A FAVOR NACIONALES (PARTES NO RELACIONADAS)</t>
  </si>
  <si>
    <t>INTERESES DEVENGADOS A FAVOR NACIONALES (TOTAL)</t>
  </si>
  <si>
    <t>INTERESES DEVENGADOS A FAVOR EXTRANJERO (PARTES RELACIONADAS)</t>
  </si>
  <si>
    <t>NTERESES DEVENGADOS A FAVOR EXTRANJERO (PARTES NO RELACIONADAS)</t>
  </si>
  <si>
    <t>INTERESES DEVENGADOS A FAVOR EXTRANJERO (TOTAL)</t>
  </si>
  <si>
    <t>INTERESES MORATORIOS A FAVOR NACIONALES (PARTES RELACIONADAS)</t>
  </si>
  <si>
    <t>INTERESES MORATORIOS A FAVOR NACIONALES (PARTES NO RELACIONADAS)</t>
  </si>
  <si>
    <t>INTERESES MORATORIOS A FAVOR EXTRANJERO (PARTES RELACIONADAS)</t>
  </si>
  <si>
    <t>INTERESES MORATORIOS A FAVOR EXTRANJERO (PARTES NO RELACIONADAS)</t>
  </si>
  <si>
    <t>INTERESES MORATORIOS A FAVOR EXTRANJERO (TOTAL)</t>
  </si>
  <si>
    <t>GANANCIA CAMBIARIA (PARTES RELACIONADAS)</t>
  </si>
  <si>
    <t>GANANCIA CAMBIARIA (PARTES NO RELACIONADAS)</t>
  </si>
  <si>
    <t>GANANCIA CAMBIARIA (TOTAL)</t>
  </si>
  <si>
    <t>INTERESES DEVENGADOS A CARGO NACIONALES (PARTES RELACIONADAS)</t>
  </si>
  <si>
    <t>INTERESES DEVENGADOS A CARGO NACIONALES (PARTES NO RELACIONADAS)</t>
  </si>
  <si>
    <t>INTERESES DEVENGADOS A CARGO NACIONALES (TOTAL)</t>
  </si>
  <si>
    <t>INTERESES DEVENGADOS A CARGO EXTRANJERO (PARTES RELACIONADAS)</t>
  </si>
  <si>
    <t>INTERESES DEVENGADOS A CARGO EXTRANJERO (PARTES NO RELACIONADAS)</t>
  </si>
  <si>
    <t>INTERESES DEVENGADOS A CARGO EXTRANJERO (TOTAL)</t>
  </si>
  <si>
    <t>INTERESES MORATORIOS A CARGO NACIONALES (PARTES RELACIONADAS)</t>
  </si>
  <si>
    <t>INTERESES MORATORIOS A CARGO NACIONALES (PARTES NO RELACIONADAS)</t>
  </si>
  <si>
    <t>INTERESES MORATORIOS A CARGO NACIONALES (TOTAL)</t>
  </si>
  <si>
    <t>INTERESES MORATORIOS A CARGO EXTRANJERO (PARTES RELACIONADAS)</t>
  </si>
  <si>
    <t>INTERESES MORATORIOS A CARGO EXTRANJERO (PARTES NO RELACIONADAS)</t>
  </si>
  <si>
    <t>INTERESES MORATORIOS A CARGO EXTRANJERO (TOTAL)</t>
  </si>
  <si>
    <t>PERDIDA CAMBIARIA (PARTES RELACIONADAS)</t>
  </si>
  <si>
    <t>PERDIDA CAMBIARIA (PARTES NO RELACIONADAS)</t>
  </si>
  <si>
    <t>PERDIDA CAMBIARIA (TOTAL)</t>
  </si>
  <si>
    <t>RESULTADO POR POSICION MONETARIA FAVORABLE (PARTES RELACIONADAS)</t>
  </si>
  <si>
    <t>RESULTADO POR POSICION MONETARIA FAVORABLE (PARTES NO RELACIONADAS)</t>
  </si>
  <si>
    <t>RESULTADO POR POSICION MONETARIA FAVORABLE (TOTAL)</t>
  </si>
  <si>
    <t>RESULTADO POR POSICION MONETARIA DESFAVORABLE (PARTES RELACIONADAS)</t>
  </si>
  <si>
    <t>RESULTADO POR POSICION MONETARIA DESFAVORABLE (PARTES NO RELACIONADAS)</t>
  </si>
  <si>
    <t>RESULTADO POR POSICION MONETARIA DESFAVORABLE (TOTAL)</t>
  </si>
  <si>
    <t>OTRAS OPERACIONES FINANCIERAS NACIONALES (PARTES RELACIONADAS)</t>
  </si>
  <si>
    <t>OTRAS OPERACIONES FINANCIERAS NACIONALES (PARTES NO RELACIONADAS)</t>
  </si>
  <si>
    <t>OTRAS OPERACIONES FINANCIERAS NACIONALES (TOTAL)</t>
  </si>
  <si>
    <t>OTRAS OPERACIONES FINANCIERAS EXTRANJERAS (PARTES RELACIONADAS)</t>
  </si>
  <si>
    <t>OTRAS OPERACIONES FINANCIERAS EXTRANJERAS (PARTES NO RELACIONADAS)</t>
  </si>
  <si>
    <t>OTRAS OPERACIONES FINANCIERAS EXTRANJERAS (TOTAL)</t>
  </si>
  <si>
    <t>OTRAS OPERACIONES FINANCIERAS (TOTAL)</t>
  </si>
  <si>
    <t>RESULTADO INTEGRAL DE FINANCIAMIENTO</t>
  </si>
  <si>
    <t>OTROS GASTOS NACIONALES (TOTAL)</t>
  </si>
  <si>
    <t>OTROS GASTOS EXTRANJEROS (TOTAL)</t>
  </si>
  <si>
    <t>OTROS GASTOS (TOTAL)</t>
  </si>
  <si>
    <t>OTROS PRODUCTOS NACIONALES (TOTAL)</t>
  </si>
  <si>
    <t>OTROS PRODUCTOS EXTRANJEROS (TOTAL)</t>
  </si>
  <si>
    <t>OTROS PRODUCTOS (TOTAL)</t>
  </si>
  <si>
    <t>UTILIDAD ANTES DE IMPUESTOS</t>
  </si>
  <si>
    <t>PERDIDA ANTES DE IMPUESTOS</t>
  </si>
  <si>
    <t>ISR</t>
  </si>
  <si>
    <t>IETU</t>
  </si>
  <si>
    <t>IMPAC</t>
  </si>
  <si>
    <t>EFECTOS DE REEXPRESION FAVORABLES EXCEPTO RESULTADO POR POSICION MONETARIA</t>
  </si>
  <si>
    <t>EFECTOS DE REEXPRESION DESFAVORABLE EXCEPTO RESULTADO POR POSICION MONETARIA</t>
  </si>
  <si>
    <t>UTILIDAD NETA</t>
  </si>
  <si>
    <t>PERDIDA NETA</t>
  </si>
  <si>
    <t>UTILIDA O PERDIDA NETA</t>
  </si>
  <si>
    <t>INVENTARIO ACUMULABLE DEL EJERCICIO</t>
  </si>
  <si>
    <t>COSTO DE VENTAS CONTABLE</t>
  </si>
  <si>
    <t>ISR,IETU,IMPAC Y PTU</t>
  </si>
  <si>
    <t>INTERESES DEVENGADOS QUE EXCEDEN VALOR DE MERCADO Y MORATORIOS PAGADOS O NO</t>
  </si>
  <si>
    <t>ADQUISICIONES NETAS  DE MERCANCIAS, MATERIAS PRIMAS, PRODUCTOS SEMITERMINADOS O TERMINADOS</t>
  </si>
  <si>
    <t>ESTIMULO FISCAL DE LAS PERSONAS CON DISCAPACIDAD Y/O ADULTOS MAYORES</t>
  </si>
  <si>
    <t>G.  DATOS INFORMATIVOS DEL COSTO DE VENTA FISCAL</t>
  </si>
  <si>
    <t>DATOS DEL INVENTARIO BASE (DICIEMBRE DEL 2004)</t>
  </si>
  <si>
    <t>Acumulacion de Inventarios</t>
  </si>
  <si>
    <t>INDIQUE EL METODO DE VALUACION DEL INVENTARIO BASE (UPS, PEPS, PROMEDIO...)</t>
  </si>
  <si>
    <t>PEPS</t>
  </si>
  <si>
    <t>UEPS</t>
  </si>
  <si>
    <t>SALDO PENDIENTE POR DEDUCIR AL 1 DE ENERO DE  2005 (REGLA 106)</t>
  </si>
  <si>
    <t xml:space="preserve">INVENTARIO ACUMULABLE  </t>
  </si>
  <si>
    <t>INVENTARIO REDUCIDO</t>
  </si>
  <si>
    <t>COSTO DE LO VENDIDOPENDIENTE DE DEDUCIR DE MERCANCIAS ENAJENADAS A PLAZO</t>
  </si>
  <si>
    <t>INDIQUE LA OPCION PARA DETERMINAR EL COSTO DE LO VENDIDO</t>
  </si>
  <si>
    <t>Dierecto</t>
  </si>
  <si>
    <t>INDIQUE LA BASE DE COSTOS UTILIZADA</t>
  </si>
  <si>
    <t>Historica</t>
  </si>
  <si>
    <t>INDIQUE EL METODO DE VALUACION UTILIZADO</t>
  </si>
  <si>
    <t xml:space="preserve">COSTO SUPERIOR AL PRECIO DE MERCADO O DE REPOSICION </t>
  </si>
  <si>
    <t>TIPO DE PRECIO CONSIDERADO</t>
  </si>
  <si>
    <t>USO O GOCE TEMPORAL DE BIENES PAGADOS A PERSONAS FISICAS</t>
  </si>
  <si>
    <t>CREDITO AL SALARIO NO DISMINUIDO DE CONTRIBUCIONES</t>
  </si>
  <si>
    <t>IMPUESTO SUSTITUTIVO DEL CREDITO AL SALARIO, EFECTIVAMENTE PAGADO</t>
  </si>
  <si>
    <t>PERDIDA POR OPERACIONES FINANCIERAS DERIVADAS</t>
  </si>
  <si>
    <t>EFECTIVO EN CAJA Y DEPOSITOS EN INSTITUCIONES DE CREDITO NACIONALES</t>
  </si>
  <si>
    <t>EFECTIVO EN CAJA Y DEPOSITOS EN INSTITUCIONES DE CREDITO DEL EXTRANJERO</t>
  </si>
  <si>
    <t>INVERSIONES EN VALORES NACIONALES (EXCEPTO ACCIONES)</t>
  </si>
  <si>
    <t>INVERSIONES EN VALORES EXTRANJERAS (EXCEPTO ACCIONES)</t>
  </si>
  <si>
    <t>CUENTAS Y DOCUMENTOS POR COBRAR NACIONALES (PARTES RELACIONADAS)</t>
  </si>
  <si>
    <t>CUENTAS Y DOCUMENTOS POR COBRAR NACIONALES (PARTES NO RELACIONADAS)</t>
  </si>
  <si>
    <t>CUENTAS Y DOCUMENTOS POR COBRAR NACIONALES (TOTAL)</t>
  </si>
  <si>
    <t>CUENTAS Y DOCUMENTOS POR COBRAR EXTRANJERO (PARTES RELACIONADAS)</t>
  </si>
  <si>
    <t>CUENTAS Y DOCUMENTOS POR COBRAR EXTRANJERO (PARTES NO RELACIONADAS)</t>
  </si>
  <si>
    <t>CUENTAS Y DOCUMENTOS POR COBRAR EXTRANJERO (TOTAL)</t>
  </si>
  <si>
    <t>INVENTARIOS</t>
  </si>
  <si>
    <t>INVERSIONES EN ACCIONES NACIONALES</t>
  </si>
  <si>
    <t>INVERSIONES EN ACCIONES DEL EXTRANJERO</t>
  </si>
  <si>
    <t>INVERSIONES EN ACCIONES (TOTAL)</t>
  </si>
  <si>
    <t>CONSTRUCCIONES EN PROCESO</t>
  </si>
  <si>
    <t>CUENTAS Y DOCUMENTOS POR PAGAR NACIONALES (PARTES RELACIONADAS)</t>
  </si>
  <si>
    <t>CUENTAS Y DOCUMENTOS POR PAGAR NACIONALES (PARTES NO RELACIONADAS)</t>
  </si>
  <si>
    <t>CUENTAS Y DOCUMENTOS POR PAGAR NACIONALES (TOTAL)</t>
  </si>
  <si>
    <t>CUENTAS Y DOCUMENTOS POR PAGAR DEL EXTRANJERO (PARTES RELACIONADAS)</t>
  </si>
  <si>
    <t>CUENTAS Y DOCUMENTOS POR PAGAR DEL EXTRANJERO (PARTES NO RELACIONADAS)</t>
  </si>
  <si>
    <t>CUENTAS Y DOCUMENTOS POR PAGAR DEL EXTRANJERO (TOTAL)</t>
  </si>
  <si>
    <t>ANTICIPOS DE CLIENTES PARTES RELACIONADAS</t>
  </si>
  <si>
    <t>ANTICIPOS DE CLIENTES PARTES NO RELACIONADAS</t>
  </si>
  <si>
    <t>INSUFICIENCIA O EXCESO EN LA ACTUALIZACION DEL CAPITAL</t>
  </si>
  <si>
    <t xml:space="preserve">EXCESO EN LA ACTUALIZACION DEL CAPITAL </t>
  </si>
  <si>
    <t>REDUCCIONES DE ISR</t>
  </si>
  <si>
    <t>REDUCCIONES PARA MAQUILADORAS</t>
  </si>
  <si>
    <t>CREDITO FISCAL POR DEDUCCION INMEDIATA PARA MAQUILADORAS</t>
  </si>
  <si>
    <t>OTRAS REDUCCIONES DE ISR</t>
  </si>
  <si>
    <t>ESTIMULO POR PROYECTOS DE INVERSION EN LA PRODUCCION CINEMATOGRAFICA NACIONAL</t>
  </si>
  <si>
    <t>OTROS ESTIMULOS</t>
  </si>
  <si>
    <t>TOTAL DE ESTIMULOS</t>
  </si>
  <si>
    <t>PAGOS PROVISIONALES EFECTUADOS ENTREGADOS A LA CONTROLADORA</t>
  </si>
  <si>
    <t>CREDITO FISCAL IETU POR DEDUCCIONES MAYORES A LOS INGRESOS</t>
  </si>
  <si>
    <t>IMPUESTO ACREDITABLE POR DEPOSITOS EN EFECTIVO</t>
  </si>
  <si>
    <t>Fac aplicable a 5-a</t>
  </si>
  <si>
    <t>REDUCCIONES DEL IMPAC</t>
  </si>
  <si>
    <t>ISR ACREDITADO DE EJERCICIOS ANTERIORES</t>
  </si>
  <si>
    <t xml:space="preserve">PAGOS PROVISIONALES EFECTIVAMENTE PAGADOS SIN ACREDITAMIENTO DE ISR </t>
  </si>
  <si>
    <t>INDIQUE SI ES CONTRIBUYENTE QUE LLEVA A CABO OPERACIONES DE MAQUILA DE CONFORMIDAD CON EL DECRETO PARA LA INDUSTRIA MANUFACTURERA, MAQUILADORA Y DE SERVICIOS DE EXPORTACION</t>
  </si>
  <si>
    <t>NO</t>
  </si>
  <si>
    <t>INGRESOS</t>
  </si>
  <si>
    <t>ENAJENACION DE BIENES</t>
  </si>
  <si>
    <t>EXENTOS POR ENAJENACION DE BIENES</t>
  </si>
  <si>
    <t>PRESTACION DE SERVICIOS INDEPENDIENTES</t>
  </si>
  <si>
    <t>USO O GOCE TEMPORAL DE BIENES</t>
  </si>
  <si>
    <t>EXENTOS POR USO O GOCE TEMPORAL DE BIENES</t>
  </si>
  <si>
    <t xml:space="preserve">TOTAL DE INGRESOS GRAVADOS </t>
  </si>
  <si>
    <t>DEDUCCIONES</t>
  </si>
  <si>
    <t>EROGACIONES POR ADQUISICION DE BIENES</t>
  </si>
  <si>
    <t xml:space="preserve">EROGACIONES POR SERVICIOS INDEPENDIENTES </t>
  </si>
  <si>
    <t>EROGACIONES POR USO O GOCE TEMPORAL DE BIENES</t>
  </si>
  <si>
    <t>DEDUCCION DE INVERSIONES (ACTIVO FIJO)</t>
  </si>
  <si>
    <t>CONTRIBUCIONES A CARGO</t>
  </si>
  <si>
    <t>EROGACIONES POR APROVECHAMIENTOS</t>
  </si>
  <si>
    <t>DEVOLUCIONES, DESCUENTOS O BONIFICACIONES, DEPOSITOS O ANTICIPOS</t>
  </si>
  <si>
    <t>INDEMNIZACIONES POR DAÑOS Y PERJUICIOS Y PENAS CONVENCIONALES</t>
  </si>
  <si>
    <t>RESERVAS VINCULADAS CON LOS SEGUROS DE VIDA O DE PENSIONES</t>
  </si>
  <si>
    <t>CREACION O INCREMENTO DE RESERVAS DE RIESGOS CATASTROFICOS (ASEGURADORAS)</t>
  </si>
  <si>
    <t>PAGO DE INSTITUCIONES DE SEGUROS Y FIANZAS</t>
  </si>
  <si>
    <t>PREMIOS PAGADOS EN EFECTIVO</t>
  </si>
  <si>
    <t>DONATIVOS</t>
  </si>
  <si>
    <t>PERDIDAS POR CREDITOS INCOBRABLES (SISTEMA FINANCIERO)</t>
  </si>
  <si>
    <t>QUITAS, CONDONACIONES, BONIFICACIONES Y DESCUENTOS SOBRE CARTERA DE CREDITOS(SISTEMA FINANCIERO)</t>
  </si>
  <si>
    <t>PERDIDAS POR CREDITOS INCOBRABLES Y CASO FORTUITO O FUERZA MAYOR</t>
  </si>
  <si>
    <t>DEDUCCION ADICIONAL POR INVERSIONES</t>
  </si>
  <si>
    <t>OTRAS DEDUCCIONES AUTORIZADAS</t>
  </si>
  <si>
    <t>TOTAL DE DEDUCCIONES AUTORIZADAS</t>
  </si>
  <si>
    <t>BASE GRAVABLE</t>
  </si>
  <si>
    <t>DEDUCCIONES QUE EXCEDEN A LOS INGRESOS</t>
  </si>
  <si>
    <t>DETERMINACION DEL IMPUESTO EMPRESARIAL A TASA UNICA</t>
  </si>
  <si>
    <t>IMPUESTO CAUSADO</t>
  </si>
  <si>
    <t>CREDITO FISCAL POR DEDUCCIONES MAYORES A LOS INGRESOS</t>
  </si>
  <si>
    <t>ACREDITAMIENTO POR SUELDOS Y SALARIOS GRAVADOS</t>
  </si>
  <si>
    <t>CREDITO FISCAL POR INVERSIONES (ADQUIRIDAS DE 1998 A 2007)</t>
  </si>
  <si>
    <t>CREDITO FISCAL DE INVENTARIOS</t>
  </si>
  <si>
    <t>CREDITO FISCAL DE DEDUCCION INMEDIATA (PERDIDAS FISCALES)</t>
  </si>
  <si>
    <t>CREDITO FISCAL POR ENAJENACION A PLAZOS</t>
  </si>
  <si>
    <t>IMPUESTO A CARGO (1a DIFERENCIA)</t>
  </si>
  <si>
    <t>ISR PROPIO ENTREGADO A LA SOCIEDAD CONTROLADORA</t>
  </si>
  <si>
    <t>ISR PROPIO POR ACREDITAR POR DISTRIBUCION DE DIVIDENDOS O UTILIDADES</t>
  </si>
  <si>
    <t>ACREDITAMIENTO DEL ISR PROPIO PAGADO EN EL EXTRANJERO</t>
  </si>
  <si>
    <t>IMPUESTO A CARGO (2a DIFERENCIA)</t>
  </si>
  <si>
    <t>ACREDITAMIENTO PARA EMPRESAS MAQUILADORAS</t>
  </si>
  <si>
    <t>PAGOS PROVISIONALES DE IETU EFECTIVAMENTE PAGADOS</t>
  </si>
  <si>
    <t>OTRAS CANTIDADES A CARGO</t>
  </si>
  <si>
    <t>OTRAS CANTIDADES A FAVOR</t>
  </si>
  <si>
    <t>TOTAL DE SALDOS PENDIENTES POR DEDUCIR ACTUALIZADO DE LAS INVERSIONES ADQUIRIDADES DE 1998 A 2007</t>
  </si>
  <si>
    <t>MONTO TOTAL DE DEDUCCION ADICIONAL POR INVERSIONES ADQUIRIDAS DE SEPTIEMBRE A DICIEMBRE DEL 2007</t>
  </si>
  <si>
    <t>PARTE PROPORCIONAL DEL IETU POR LAS ACTIVIDADES DE MAQUILA</t>
  </si>
  <si>
    <t>PARTE PROPORCIONAL DEL ISR PROPIO</t>
  </si>
  <si>
    <t>CONTRAPRESTACIONES QUE EFECTIVAMENTE SE COBREN EN EL PERIODO POR LA ENAJENACIONES A PLAZOS</t>
  </si>
  <si>
    <t>PARTE PROPORCIONAL DEL ISR  ACREDITABLE CONTRA IETU</t>
  </si>
  <si>
    <t>UTILIDAD FISCAL PARA PAGOS PROVISIONALES EN LAS ACTIVIDADES DE MAQUILA</t>
  </si>
  <si>
    <t>DATOS INFORMATIVOS DE OPERACIONES DE MAQUILA</t>
  </si>
  <si>
    <t>IETU DEL EJERCICIO</t>
  </si>
  <si>
    <t>INGRESOS GRAVADOS DEL IETU</t>
  </si>
  <si>
    <t>DEDUCCIONES DEL IETU</t>
  </si>
  <si>
    <t xml:space="preserve">ISR PROPIO DEL EJERCICIO </t>
  </si>
  <si>
    <t>INGRESO ACUMULABLE DEL EJERCICIO PARA ISR</t>
  </si>
  <si>
    <t>DEDUCCIONES AUTORIZADAS DEL EJERCICIO PARA ISR</t>
  </si>
  <si>
    <t>VALOR DEL ACTIVO DE LA EMPRESA</t>
  </si>
  <si>
    <t>MONTO DE LOS COSTOS Y GASTOS DE OPERACIÓN</t>
  </si>
  <si>
    <t>UTILIDAD FISCAL DE OPERACIONES DE MAQUILA CON PARTES RELACIONADAS</t>
  </si>
  <si>
    <t>DATOS INFORMATIVOS DE OPERACIONES DISTINTAS DE MAQUILA</t>
  </si>
  <si>
    <t>DATOS INFORMATIVOS PARA LA DETERMINACION DEL ESTIMULO FISCAL (ARTICULO QUINTO DEL DECRETO DEL 5 DE NOVIEMBRE DE 2007)</t>
  </si>
  <si>
    <t>PROPORCION DEL IETU CORRESPONDIENTE A LAS ACTIVIDADES DE MAQUILA DEL EJERCICIO</t>
  </si>
  <si>
    <t>PROPORCION DE INGRESOS POR ACTIVIDADES DE MAQUILA</t>
  </si>
  <si>
    <t>IETU DEL EJERCICIO A CARGO</t>
  </si>
  <si>
    <t>PROPORCION DEL IETU A CARGO POR ACTIVIDADES DE MAQUILA</t>
  </si>
  <si>
    <t xml:space="preserve">PROPORCION DEL ISR PROPIO DEL EJERCICIO CORRESPONDIENTE A LAS ACTIVIDADES DE MAQUILA </t>
  </si>
  <si>
    <t>IMPUESTO SOBRE LA RENTA PROPIO DEL EJERCICIO</t>
  </si>
  <si>
    <t>PROPORCION DEL ISR PROPIO DE ACTIVIDADES DE MAQUILA</t>
  </si>
  <si>
    <t>CALCULO DEL ESTIMULO FISCAL DEL EJERCICIO</t>
  </si>
  <si>
    <t>SUMA DEL IETU A CARGO Y DEL ISR PROPIO PROPORCIONAL A LAS ACTIVIDADES DE LA  MAQUILA</t>
  </si>
  <si>
    <t>UTILIDAD FISCAL DETERMINADA CONFORME AL ARTICULO 216-BIS DE LA LISR MULTIPLICADA POR EL FACTOR CORRESPONDIENTE</t>
  </si>
  <si>
    <t>MONTO DEL ACREDITAMIENTO (ESTIMULO FISCAL)</t>
  </si>
  <si>
    <t>INFORMACION ADICIONAL</t>
  </si>
  <si>
    <t>VALOR NETO EN LIBROS DEL RESIDENTE EN EL EXTRANJERO DE LA MAQUINARIA Y EQUIPO DE SU PROPIEDAD EN MONEDA NACIONAL (PESOS)</t>
  </si>
  <si>
    <t>UTILIDAD FISCAL TOTAL EN LOS TERMINOS DEL DECRETO DEL 5 DE NOVIEMBRE DE 2007 Y DEL ARTICULO 216-BIS DE LA LISR</t>
  </si>
  <si>
    <t>PTU (prov ejercicio)</t>
  </si>
  <si>
    <t>PTU disminuible (pagado en el ejercicio)</t>
  </si>
  <si>
    <t>IETU diferido del ejercicio</t>
  </si>
  <si>
    <t>Utilidad antes de impuestos a la utilidad</t>
  </si>
  <si>
    <t>Impuestos a la utilidad</t>
  </si>
  <si>
    <t>Tasa efectiva de impuestos</t>
  </si>
  <si>
    <r>
      <t xml:space="preserve">Utilidad fiscal (perdida) </t>
    </r>
    <r>
      <rPr>
        <b/>
        <sz val="9"/>
        <rFont val="Arial"/>
        <family val="2"/>
      </rPr>
      <t>(1)</t>
    </r>
  </si>
  <si>
    <t>% de utilidad bruta</t>
  </si>
  <si>
    <t>% utilidad de operación</t>
  </si>
  <si>
    <t>Diferencia vs CCF</t>
  </si>
  <si>
    <t>AMORTIZACIONES contables</t>
  </si>
  <si>
    <t>HONORARIOS, RENTAS a PF E INTERESES NO PAGADOS AL CIERRE DEL EJERCICIO</t>
  </si>
  <si>
    <t>PTU pagada en el ejercicio (disminuible)</t>
  </si>
  <si>
    <t>Salarios mínimos y UMA</t>
  </si>
  <si>
    <t>Vigencia</t>
  </si>
  <si>
    <t>SMDF, SM</t>
  </si>
  <si>
    <t xml:space="preserve"> a nov $80.04</t>
  </si>
  <si>
    <t xml:space="preserve">1 dic $88.36 </t>
  </si>
  <si>
    <t xml:space="preserve">enero $88.36 </t>
  </si>
  <si>
    <t>UMA</t>
  </si>
  <si>
    <t>(1) $75.49</t>
  </si>
  <si>
    <t>febr $80.60</t>
  </si>
  <si>
    <t>La UMA esta vigente del mes de febrero al mes de enero del siguiente año.</t>
  </si>
  <si>
    <t>Tasa de inflación de 2017 hasta el 10 de enero de 2018 con el INPC de diciembre.</t>
  </si>
  <si>
    <t>Se prevee un nuevo incremento al Salario Minimo a partir del mes de abril de 2018</t>
  </si>
  <si>
    <t>Recargos, tipo de cambio e inflación</t>
  </si>
  <si>
    <t>Recargos/mes</t>
  </si>
  <si>
    <t>INPC</t>
  </si>
  <si>
    <t>Inflación anual</t>
  </si>
  <si>
    <t>TC DOF fiscal</t>
  </si>
  <si>
    <t>TC DOF cierre</t>
  </si>
  <si>
    <t>El tipo de cambio para efectos fiscales es el publicado el día anterior al 31 de diciembre</t>
  </si>
  <si>
    <t>El tipo de cambio del cierre del ejercicio es el primero publicado el año siguiente</t>
  </si>
  <si>
    <t>Los recargos se determinan incrementando la tasa de interes en un 50%</t>
  </si>
  <si>
    <t>Tasa de interes 2017</t>
  </si>
  <si>
    <t>Tasa de interes 2018</t>
  </si>
  <si>
    <r>
      <t>MÁS</t>
    </r>
    <r>
      <rPr>
        <sz val="9"/>
        <rFont val="Arial"/>
        <family val="2"/>
      </rPr>
      <t>: INGRESOS FISCALES NO CONTABLES</t>
    </r>
  </si>
  <si>
    <r>
      <t>MÁS</t>
    </r>
    <r>
      <rPr>
        <sz val="9"/>
        <rFont val="Arial"/>
        <family val="2"/>
      </rPr>
      <t>: DEDUCCIONES CONTABLES NO FISCALES</t>
    </r>
  </si>
  <si>
    <r>
      <t>MENOS</t>
    </r>
    <r>
      <rPr>
        <sz val="9"/>
        <rFont val="Arial"/>
        <family val="2"/>
      </rPr>
      <t>: DEDUCCIONES FISCALES NO CONTABLES</t>
    </r>
  </si>
  <si>
    <r>
      <t>MENOS</t>
    </r>
    <r>
      <rPr>
        <sz val="9"/>
        <rFont val="Arial"/>
        <family val="2"/>
      </rPr>
      <t>: INGRESOS CONTABLES NO FISCALES</t>
    </r>
  </si>
  <si>
    <r>
      <t xml:space="preserve">RISR 4 DIC 2006, Artículo 69-C. </t>
    </r>
    <r>
      <rPr>
        <sz val="9"/>
        <rFont val="Arial"/>
        <family val="2"/>
      </rPr>
      <t>Para los efectos del artículo 45-A, segundo párrafo de la Ley, el sistema de costeo directo deberá aplicarse, tanto para efectos fiscales, como para efectos contables.</t>
    </r>
  </si>
  <si>
    <r>
      <t xml:space="preserve">RECARGOS, </t>
    </r>
    <r>
      <rPr>
        <b/>
        <sz val="10"/>
        <color rgb="FFFF0000"/>
        <rFont val="Arial"/>
        <family val="2"/>
      </rPr>
      <t>SE INCREMENTA INTERES DE 0.75% A 0.98%,</t>
    </r>
  </si>
  <si>
    <r>
      <t xml:space="preserve">RECARGOS, </t>
    </r>
    <r>
      <rPr>
        <b/>
        <sz val="10"/>
        <color rgb="FFFF0000"/>
        <rFont val="Arial"/>
        <family val="2"/>
      </rPr>
      <t>SE INCREMENTA RECARGOS DE 1.13% A 1.47%</t>
    </r>
    <r>
      <rPr>
        <b/>
        <sz val="10"/>
        <color rgb="FF000099"/>
        <rFont val="Arial"/>
        <family val="2"/>
      </rPr>
      <t>.</t>
    </r>
  </si>
  <si>
    <t>Papel de Trabajo Pagos Provisionales ISR 2017</t>
  </si>
  <si>
    <t>Papel de Trabajo Pagos Provisionales ISR 2016</t>
  </si>
  <si>
    <t>Papel de Trabajo Pagos Provisionales ISR 2015</t>
  </si>
  <si>
    <t>Por el periodo comprendido entre el 1o de enero y el 31 de diciembre del 2017</t>
  </si>
  <si>
    <t>COMPL X DICTAMEN</t>
  </si>
  <si>
    <t>COMPLEMETARIA</t>
  </si>
  <si>
    <t>NORMAL</t>
  </si>
  <si>
    <t>SIN SELECCIÓN</t>
  </si>
  <si>
    <t xml:space="preserve">NO  </t>
  </si>
  <si>
    <t>SI</t>
  </si>
  <si>
    <t>NO APLICA</t>
  </si>
  <si>
    <t>APLICA</t>
  </si>
  <si>
    <t>UTILIDAD DETERMINADA SIN CONSIDERAR LOS ACTIVOS QUE NO SEAN PROPIEDAD DEL CONTRIBUYENTE</t>
  </si>
  <si>
    <t>METODO DE PRECIOS DE TRANSFEENCIA SELECCIONADO DE ACUERDO CON EL ARTÍCULO 216 DE LA LISR SIN TOMAR EN CONSIDERACIÓN LOS ACTIVOS QUE NO SEAN PROPIEDAD DEL CONTRIBUYENTE</t>
  </si>
  <si>
    <t>SI OPTO POR APLICAR LO DISPUESTO POR LA FRACCIÓN I DEL ARTICULO 216-BIS DE LA LSIR, INDIQUE:</t>
  </si>
  <si>
    <t>INDIQUE POR QUÉ FRACCION DEL ARTICULO 216-BIS DE LA LISR OPTO EN EL EJERCICIO</t>
  </si>
  <si>
    <t>UTILIDAD FISCAL DETERMINADA CONFORME AL ARTICULO  216-BIS DE LA LISR SIN LOS BENEFICIOS DEL DECRETO DEL 30 DE OCTUBRE DE 2003</t>
  </si>
  <si>
    <t>CREDITO POR DEDUCCIONES MAYORES A LOS INGRESOS PENDIENTES DE APLICAR</t>
  </si>
  <si>
    <t>TOTAL DE APORTACIONES DE SEGURIDAD SOCIAL PATRONALES</t>
  </si>
  <si>
    <t>MONTO TOTAL DE PAGOS POR SUELDOS Y SALARIOS GRAVADOS</t>
  </si>
  <si>
    <t>BASE PARA IDENTIFICAR EL CREDITO FISCAL DE PERDIDAS FISCALES POR DEDUCCION INMEDIATA O DEDUCCION DE TERRENOS</t>
  </si>
  <si>
    <t>BASE DETERMINADA PARA IDENTIFICAR EL CREDITO FISCAL DE INVENTARIOS</t>
  </si>
  <si>
    <t>EXCEDENTE DE PAGOS PROVISIONALES DEL IETU ACREDITADOS CONTRA PAGOS PROVISIONALES DEL ISR DEL MISMO PERIODO</t>
  </si>
  <si>
    <t>PAGOS PROVISIONALES DE IETU</t>
  </si>
  <si>
    <t>ISR PROPIO DEL EJERCICIO</t>
  </si>
  <si>
    <t>ACREDITAMIENTO POR APORTACIONES DE SEGURIDAD SOCIAL PATRONALES</t>
  </si>
  <si>
    <t>Tasa de IETU</t>
  </si>
  <si>
    <r>
      <t xml:space="preserve">DEDUCCION POR CUENTAS Y DOCUMENTOS POR PAGAR </t>
    </r>
    <r>
      <rPr>
        <b/>
        <sz val="8"/>
        <color indexed="18"/>
        <rFont val="Arial"/>
        <family val="2"/>
      </rPr>
      <t>(OPERACIONES CON EL PUBLICO EN GENERAL)</t>
    </r>
  </si>
  <si>
    <t/>
  </si>
  <si>
    <r>
      <t xml:space="preserve">MONTO DE LAS RESERVAS PREVENTIVAS GLOBALES </t>
    </r>
    <r>
      <rPr>
        <b/>
        <sz val="8"/>
        <color indexed="18"/>
        <rFont val="Arial"/>
        <family val="2"/>
      </rPr>
      <t>DE INSTITUCIONES DE CREDITO</t>
    </r>
  </si>
  <si>
    <t>OTROS INGRESOS EXENTOS</t>
  </si>
  <si>
    <t>INGRESOS EXENTOS DE CAJAS DE AHORRO</t>
  </si>
  <si>
    <t>INGRESOS EXENTOS DE FONDOS DE PENSIONES Y JUBILACIONES DEL EXTRANJERO</t>
  </si>
  <si>
    <t>INGRESOS EXENTOS POR ENAJENACIÓN DE PARTES SOCIALES, DOCUMENTOS PENDIENTES DE COBRO Y TITULOS DE CREDITO</t>
  </si>
  <si>
    <t>INGRESOS EXENTOS AGROPECUARIOS</t>
  </si>
  <si>
    <t>EXENTOS POR PRESTACION DE SERVICIOS INDEPENDIENTES</t>
  </si>
  <si>
    <t>IETU (EJERCICIO 2008 A 2013)</t>
  </si>
  <si>
    <t>MONTO DEDUCIBLE DE LOS PAGOS EFECTUADOS POR EL USO O GOCE TEMPORAL DE AUTOMOVILES</t>
  </si>
  <si>
    <t>MONTO APLICADO DEL ESTIMULO FISCAL DE CHATARRIZACION</t>
  </si>
  <si>
    <t>IDE PENDIENTE DE APLICAR DEL EJERCICIO</t>
  </si>
  <si>
    <t>ISR A FAVOR DEL EJERCICIO</t>
  </si>
  <si>
    <t>ISR A CARGO DEL EJERCICIO</t>
  </si>
  <si>
    <t>DIFERENCIA A FAVOR</t>
  </si>
  <si>
    <t>IMPUESTO CORRESPONDIENTE A LA CONSOLIDACION FISCAL ENTREGADO (EN EXCESO)</t>
  </si>
  <si>
    <t>ESTIMULO POR PROYECTOS DE INVERSION EN LA PRODUCCION TEATRAL NACIONAL</t>
  </si>
  <si>
    <t>I. DETERMINACIÓN DEL ISR DEL EJERCICIO</t>
  </si>
  <si>
    <t>DIFERENCIA DE IDE</t>
  </si>
  <si>
    <t>ESPECIFIQUE</t>
  </si>
  <si>
    <t>OTRAS DISMINUCIONES DE IDE</t>
  </si>
  <si>
    <t>DEVOLUCIONES DE IDE SOLICITADAS DESDE EL INICIO DEL SIGUIENTE EJERCICIO A LA FECHA DE PRESENTACIÓN DE LA DECLARACIÓN</t>
  </si>
  <si>
    <t>DEVOLUCIONES DE IDE SOLICITADAS DURANTE EL EJERCICIO</t>
  </si>
  <si>
    <t>IDE COMPENSADO EN CONSOLIDACION</t>
  </si>
  <si>
    <t>COMPENSACIONES DE IDE EFECTUADAS DESDE EL INICIO DEL SIGUIENTE EJERCICIO A LA FECHA DE PRESENTACIÓN DE LA DECLARACION</t>
  </si>
  <si>
    <t>COMPENSACIONES DE IDE EFECTUADAS DURANTE EL EJERCICIO</t>
  </si>
  <si>
    <t>ACREDITAMIENTOS DE IDE EFECTUADOS CONTRA EL ISR RETENIDO A TERCEROS</t>
  </si>
  <si>
    <t>ACREDITAMIENTOS DE IDE EFECTUADOS CONTRA EL ISR A CARGO (PROPIO)</t>
  </si>
  <si>
    <t>TOTAL DEL IMPUESTO A LOS DEPOSITOS EN EFECTIVO</t>
  </si>
  <si>
    <t>IMPUESTO PAGADO POR EL CONTRIBUYENTE, NO RECAUDADO POR LA INSTITUCION DEL SISTEMA FINANCIERO</t>
  </si>
  <si>
    <t>TOTAL DE IMPUESTOS RECAUDADOS AL CONTRIBUYENTE Y/O PAGADOS POR TERCEROS</t>
  </si>
  <si>
    <t>DATOS ADICIONALES DEL IMPUESTO ACREDITABLE A LOS DEPOSITOS EN EFECTIVO (APLICA SOLO PARA 2008 Y POSTERIORES)</t>
  </si>
  <si>
    <t>MONTO DEL IMPUESTO A LOS DEPOSITOS EN EFECTIVO</t>
  </si>
  <si>
    <t>RFC DE LA INSTITUCION BANCARIA</t>
  </si>
  <si>
    <t>DATOS ADICIONALES DEL IDE (APLICA DE 2008 A 2013)</t>
  </si>
  <si>
    <t xml:space="preserve"> </t>
  </si>
  <si>
    <t>MONTO DEDUCIBLE AL 53% (PAGOS QUE SON INGRESOS EXENTOS PARA EL TRABAJADOR)</t>
  </si>
  <si>
    <t>MONTO DEDUCIBLE AL 47% (PAGOS QUE SON INGRESOS EXENTOS PARA EL TRABAJADOR)</t>
  </si>
  <si>
    <t>MONTO TOTAL DE LOS PAGOS QUE SEAN INGRESOS EXENTOS PARA EL TRABAJADOR</t>
  </si>
  <si>
    <t>DEDUCCION POR CONCEPTO DE AYUDA ALIMENTARIA PARA LOS TRABAJADORES</t>
  </si>
  <si>
    <t>APORTACIONES PARA FONDOS DE PENSIONES Y JUBILACIONES</t>
  </si>
  <si>
    <t>Clientes</t>
  </si>
  <si>
    <t>IVA</t>
  </si>
  <si>
    <t>ingresos</t>
  </si>
  <si>
    <t>factura a SM Resinas</t>
  </si>
  <si>
    <t>Ajuste 2</t>
  </si>
  <si>
    <t>Acreedores</t>
  </si>
  <si>
    <t>IVA acred pdte pago</t>
  </si>
  <si>
    <t>Gstos de operación</t>
  </si>
  <si>
    <t>Ajuste Taxday 4% 2015</t>
  </si>
  <si>
    <t>Taxday y MG provisión</t>
  </si>
  <si>
    <t>DCNF</t>
  </si>
  <si>
    <t>ajuste 1</t>
  </si>
  <si>
    <t>MG, SC</t>
  </si>
  <si>
    <t>PROVISION  2016</t>
  </si>
  <si>
    <t>PROVISION  2015</t>
  </si>
  <si>
    <t>Son una deducción contable no fiscal</t>
  </si>
  <si>
    <t>Gastos de administración</t>
  </si>
  <si>
    <t>IVA acreditable por pagar</t>
  </si>
  <si>
    <t>Taxday, SC</t>
  </si>
  <si>
    <t>Acreedores Diversos</t>
  </si>
  <si>
    <t>Suma provisiones</t>
  </si>
  <si>
    <t>Costo indirecto: IMSS, Infonavit, nóminas,</t>
  </si>
  <si>
    <t>com 4%</t>
  </si>
  <si>
    <t>Costo de mano de obra, incluyendo indirectos.</t>
  </si>
  <si>
    <t>La nómina, sin indirectos en 2013</t>
  </si>
  <si>
    <t>Provision de comisiones de Taxday SC por pagar a dic de 2013.</t>
  </si>
  <si>
    <t>Falta incluir la provision</t>
  </si>
  <si>
    <t>Debe a SC por auditoria a diciembre de 2013 (sin IVA)</t>
  </si>
  <si>
    <t>Se pagó de la auditoria en 2013 a la SC</t>
  </si>
  <si>
    <t>Debe a SC por auditoria a diciembre de 2012</t>
  </si>
  <si>
    <t>Notas para la presentación de la declaración anual.</t>
  </si>
  <si>
    <t xml:space="preserve">COSTO SUPERIOR AL PRECIO DE MERCADO O AL DE REPOSICION </t>
  </si>
  <si>
    <t>MONTO DEL LA MATERIA PRIMA CONSUMIDA, MANO DE OBRA Y LOS GASTOS INDIRECTOS DEDUCIBLES</t>
  </si>
  <si>
    <t>2011 CD</t>
  </si>
  <si>
    <t>2012 CD</t>
  </si>
  <si>
    <t>2013 CXD</t>
  </si>
  <si>
    <t>INTERESES MORATORIOS A FAVOR NAL (TOTAL)</t>
  </si>
  <si>
    <t>DEDUCCION EN EL EJERCICIO</t>
  </si>
  <si>
    <t>PTU NO COBRADA EN EL EJERCICIO ANTERIOR</t>
  </si>
  <si>
    <t>Se genero PF</t>
  </si>
  <si>
    <t>INDIQUE SI SE TRATA DE DECLARACIÓN COMPLEMENTARIA PARA CORREGIR EL EJERCICIO</t>
  </si>
  <si>
    <t>INDIQUE SI OPTA POR DICTAMINAR SUS ESTADOS FINANCIEROS</t>
  </si>
  <si>
    <t>2014 comp</t>
  </si>
  <si>
    <t>2015 comp</t>
  </si>
  <si>
    <t>PEREZ</t>
  </si>
  <si>
    <t>PEV</t>
  </si>
  <si>
    <t>PEVS76</t>
  </si>
  <si>
    <t>Acumulación inventario de importación de 2004 que excede a 2003 (solo en 2005)</t>
  </si>
  <si>
    <t>Acumulación de inventarios a 2004 (a4 a 12 años)</t>
  </si>
  <si>
    <t>Acumulación disminución inventario respecto de 2004 (4 a 12 años 2005 a 2016)</t>
  </si>
  <si>
    <t>PTU con artículo 16 LISR (Hasta 2013)</t>
  </si>
  <si>
    <t>PTU con utilidad fiscal (despues de acumular inventarios 2005 a 2016)</t>
  </si>
  <si>
    <t>J. DETERMINACIÓN IMPUESTO AL ACTIVO (Hasta 2007)</t>
  </si>
  <si>
    <t>A. PARTICIPACION PTU</t>
  </si>
  <si>
    <t>INDIQUE SI ESTÁ OBLIGADO (OPTA A PARTIR DE 2014) A DICTAMINAR SUS ESTADOS FINANCIEROS</t>
  </si>
  <si>
    <t>FECHA DE LA DECLARACIÓN INMEDIATA ANTERIOR EN CASO DE COMPLEMENTARIA</t>
  </si>
  <si>
    <t>SALDO ACTUALIZADO DE LA CUFINRE</t>
  </si>
  <si>
    <t>PROVENIENTES DE LA CUENTA DE CUFINRE</t>
  </si>
  <si>
    <t>INDIQUE SI SE DEDICA EXCLUSIVAMENTE A LA GENERACIÓN DE ENERGIA RENOVABLE O COGENERACIÓN ELECTRICIDAD EFICIENTE</t>
  </si>
  <si>
    <t>PTU GENERADA DURANTE EL EJERCICIO</t>
  </si>
  <si>
    <t>SALDO ACTUALIZADO DE LA CUFIN A 2013</t>
  </si>
  <si>
    <t>SALDO ACTUALIZADO DE LA CUFIN DESDE 2014</t>
  </si>
  <si>
    <t>SALDO CUFIN POR INVERSION EN ENERGIAS RENOVABLES</t>
  </si>
  <si>
    <t>PROVENIENTES DE LA  CUFIN A 2013</t>
  </si>
  <si>
    <t>PROVENIENTES DE LA  CUFIN DESDE 2014</t>
  </si>
  <si>
    <t>PROVENIENTE CUFIN POR INVERSION EN ENERGIAS RENOVABLES</t>
  </si>
  <si>
    <t>El estimulo por deducción inmediata aplica cuando los ingresos propios de su actividad empresarial del ejercicio anterior sean de hasta 100 millones de pesos</t>
  </si>
  <si>
    <t>Señale si la deducción inmediata de inversiones aplica como:</t>
  </si>
  <si>
    <t>1. Infraestructura de transporte</t>
  </si>
  <si>
    <t>2. infraestructura de energia</t>
  </si>
  <si>
    <t>3. Contribuyente con ingresos hasta 100 MDP</t>
  </si>
  <si>
    <t>INVERSIONES EN INMUEBLES CONSID HISTORICOS</t>
  </si>
  <si>
    <t>EQUIPO DE TRANSPORTE BATERIAS ELECTRICAS Y ELECTRICOS DE COMBUSTION INTERNA, O ACCIONADO POR HIDROGENO</t>
  </si>
  <si>
    <t>BICICLETAS CONVENCIONALES, BICICLETAS Y MOTOS ELECTRICAS</t>
  </si>
  <si>
    <t>EQUIPOS FIJOS PARA ALIMENTACION VEHICULOS ELECTRÍCOS</t>
  </si>
  <si>
    <t>OLEODUCTOS, GASODUCTOS, TERMINALES Y TANQUES</t>
  </si>
  <si>
    <t>PTU (PROVISION CONTABLE)</t>
  </si>
  <si>
    <t>Estimado contribuyente, en caso de aplicar deducción de inversiones favor de verificar que sea proporcional a los activos fijos capturados</t>
  </si>
  <si>
    <t>DONACIÓN DE BIENES BÁSICOS PARA LA SUBSISTENCIA HUMANA</t>
  </si>
  <si>
    <t>DEDUCCIÓN ISR RETENIDO A DISCAPACITADOS Y/O ADULTOS MAYORES</t>
  </si>
  <si>
    <t>CONTRIBUCIONES PAGADAS, EXCEPTO ISR, IETU, IMPAC E IVA, IEPS</t>
  </si>
  <si>
    <t>USO O GOCE TEMPORAL DE AUTOMOVILES CON PROPULSIÓN DE BATERIAS ELECTRICAS, Y AUTOMOVILES ELECTRICOS CON MOTOR DE COMBUSTION INTERNA O ACCIONADO POR HIDROGENO</t>
  </si>
  <si>
    <t>DEDUCCIÓN ADICIONAL POR PAGO SERVICIOS PERSONALES EN OPERACIÓN DE MAQUILA</t>
  </si>
  <si>
    <t>PAGOS PROVISIONALES EFECTUADOS ENTERADOS A LA FEDERACION</t>
  </si>
  <si>
    <t>DATOS INFORMATIVOS DEL EJERCICIO ISR</t>
  </si>
  <si>
    <t>INGRESOS OBTENIDOS POR APOYOS GUBERNAMENTALES</t>
  </si>
  <si>
    <t>GASTOS EN EL EJERCICIO POR PROY EN INVESTIGACIÓN Y DESARROLLO TECNOLOGICO</t>
  </si>
  <si>
    <t>CRÉDITO FISCAL AUTORIZADO EN EL EJERCICIO POR PROY EN INVESTIGACIÓN Y DESARROLLO TECNOLOGICO POR APLICAR</t>
  </si>
  <si>
    <t>MONTO APORTADO A PROY Y/O PROGRAMAS CON ESTIMULO PARA DEPORTE DE ALTO RENDIMIENTO</t>
  </si>
  <si>
    <t>SALDO POR APLICAR POR LA INVERSIÓN EN EQUIPOS DE ALIMENTACIÓN DE VEHICULOS ELECTRÍCOS</t>
  </si>
  <si>
    <t>TOTAL ESTIMULO A LA PRODUCCIÓN Y DISTRIBUCIÓN CINEMATOGRÁFICA NACIONAL DE EJERCICIOS ANTERIORES APLICADO EN EL EJERCICIO</t>
  </si>
  <si>
    <t>SALDO CRÉDITO FISCAL AUT EN EJERC ANT POR LA INVERSIÓN EN PROY Y/O PROGRAMAS PARA DEPORTE DE ALTO RENDIMIENTO POR APLICAR</t>
  </si>
  <si>
    <t>DETERMINACIÓN DEL PAGO DEL ISR</t>
  </si>
  <si>
    <t>ISR A CARGO (A FAVOR)</t>
  </si>
  <si>
    <t>PARTE ACTUALIZADA</t>
  </si>
  <si>
    <t>RECARGOS</t>
  </si>
  <si>
    <t>MULTA POR CORRECCIÓN</t>
  </si>
  <si>
    <t>TOTAL DE CONTRIBUCIONES</t>
  </si>
  <si>
    <t>OPTA POR PAGAR EN PARCIALIDADES</t>
  </si>
  <si>
    <t>CANTIDAD A PAGAR</t>
  </si>
  <si>
    <t>MI EMPRESA, SA DE CV</t>
  </si>
  <si>
    <t>Cuenta (20 caract)</t>
  </si>
  <si>
    <t>Descripción (40 caracteres)</t>
  </si>
  <si>
    <t>Depto (S/N)</t>
  </si>
  <si>
    <t>Naturaleza A (acred) D (deud)</t>
  </si>
  <si>
    <t>Fiscal</t>
  </si>
  <si>
    <t>Contrapartida (20 carac)</t>
  </si>
  <si>
    <t>Moneda (1,2,3)</t>
  </si>
  <si>
    <t>Afecta Poliza Ajuste (S / N)</t>
  </si>
  <si>
    <t>RFC (29 Carac)</t>
  </si>
  <si>
    <t>Captura Comprobante (S / N)</t>
  </si>
  <si>
    <t>Captura Forma de Pago (S / N)</t>
  </si>
  <si>
    <t>Tipoo Mov para forma de Pago ( A, C, T)</t>
  </si>
  <si>
    <t>Operaciones con Tecero (S / N)</t>
  </si>
  <si>
    <t>Tipo Mov OT (A, C, T)</t>
  </si>
  <si>
    <t>101</t>
  </si>
  <si>
    <t>1010-000-000</t>
  </si>
  <si>
    <t>Caja</t>
  </si>
  <si>
    <t>N</t>
  </si>
  <si>
    <t>D</t>
  </si>
  <si>
    <t>1010-001-000</t>
  </si>
  <si>
    <t>Caja y efectivo</t>
  </si>
  <si>
    <t>1010-001-001</t>
  </si>
  <si>
    <t>DETALLE</t>
  </si>
  <si>
    <t>102</t>
  </si>
  <si>
    <t>1020-000-000</t>
  </si>
  <si>
    <t>Bancos</t>
  </si>
  <si>
    <t>1020-001-000</t>
  </si>
  <si>
    <t>Bancos nacionales</t>
  </si>
  <si>
    <t>1020-001-001</t>
  </si>
  <si>
    <t>1020-002-000</t>
  </si>
  <si>
    <t>Bancos extranjeros</t>
  </si>
  <si>
    <t>1020-002-001</t>
  </si>
  <si>
    <t>103</t>
  </si>
  <si>
    <t>1030-000-000</t>
  </si>
  <si>
    <t>Inversiones</t>
  </si>
  <si>
    <t>1030-001-000</t>
  </si>
  <si>
    <t>Inversiones temporales</t>
  </si>
  <si>
    <t>1030-001-001</t>
  </si>
  <si>
    <t>1050-000-000</t>
  </si>
  <si>
    <t>1050-001-000</t>
  </si>
  <si>
    <t>Clientes nacionales</t>
  </si>
  <si>
    <t>1050-001-001</t>
  </si>
  <si>
    <t>1050-002-000</t>
  </si>
  <si>
    <t>Clientes extranjeros</t>
  </si>
  <si>
    <t>1050-002-001</t>
  </si>
  <si>
    <t>1050-003-000</t>
  </si>
  <si>
    <t>Clientes PRN</t>
  </si>
  <si>
    <t>1050-003-001</t>
  </si>
  <si>
    <t>1050-004-000</t>
  </si>
  <si>
    <t>Clientes PRE</t>
  </si>
  <si>
    <t>1050-004-001</t>
  </si>
  <si>
    <t>1060-000-000</t>
  </si>
  <si>
    <t>Documentos x cobrar a CP</t>
  </si>
  <si>
    <t>1060-001-000</t>
  </si>
  <si>
    <t>Documentos x cobrar a CPN</t>
  </si>
  <si>
    <t>1060-001-001</t>
  </si>
  <si>
    <t>1060-002-000</t>
  </si>
  <si>
    <t>Documentos x cobrar a CPE</t>
  </si>
  <si>
    <t>1060-002-001</t>
  </si>
  <si>
    <t>1060-003-000</t>
  </si>
  <si>
    <t>Documentos x cobrar a CP PRN</t>
  </si>
  <si>
    <t>1060-003-001</t>
  </si>
  <si>
    <t>1060-004-000</t>
  </si>
  <si>
    <t>Documentos x cobrar a CP PRE</t>
  </si>
  <si>
    <t>1060-004-001</t>
  </si>
  <si>
    <t>1060-005-000</t>
  </si>
  <si>
    <t>Intereses x cobrar a CPN</t>
  </si>
  <si>
    <t>1060-005-001</t>
  </si>
  <si>
    <t>1060-006-000</t>
  </si>
  <si>
    <t>Intereses x cobrar a CPE</t>
  </si>
  <si>
    <t>1060-006-001</t>
  </si>
  <si>
    <t>1060-007-000</t>
  </si>
  <si>
    <t>Intereses x cobrar a CP PRN</t>
  </si>
  <si>
    <t>1060-007-001</t>
  </si>
  <si>
    <t>1060-008-000</t>
  </si>
  <si>
    <t>Intereses x cobrar a CP PRE</t>
  </si>
  <si>
    <t>1060-008-001</t>
  </si>
  <si>
    <t>1060-009-000</t>
  </si>
  <si>
    <t>Otras Documentos x cobrar a CP</t>
  </si>
  <si>
    <t>1060-009-001</t>
  </si>
  <si>
    <t>1060-010-000</t>
  </si>
  <si>
    <t>Otros Documentos x cobrar a CP PRE</t>
  </si>
  <si>
    <t>1060-010-001</t>
  </si>
  <si>
    <t>1070-000-000</t>
  </si>
  <si>
    <t>Deudores diversos</t>
  </si>
  <si>
    <t>1070-001-000</t>
  </si>
  <si>
    <t>Funcionarios y empleados</t>
  </si>
  <si>
    <t>1070-001-001</t>
  </si>
  <si>
    <t>1070-002-000</t>
  </si>
  <si>
    <t>Socios y accionistas</t>
  </si>
  <si>
    <t>1070-002-001</t>
  </si>
  <si>
    <t>1070-003-000</t>
  </si>
  <si>
    <t>Partes Relacionadas NAL</t>
  </si>
  <si>
    <t>1070-003-001</t>
  </si>
  <si>
    <t>1070-004-000</t>
  </si>
  <si>
    <t>Partes Relacionadas EXT</t>
  </si>
  <si>
    <t>1070-004-001</t>
  </si>
  <si>
    <t>1070-005-000</t>
  </si>
  <si>
    <t>Otros deudores diversos</t>
  </si>
  <si>
    <t>1070-005-001</t>
  </si>
  <si>
    <t>1070-006-000</t>
  </si>
  <si>
    <t>Pagos x cuenta de terceros (activo)</t>
  </si>
  <si>
    <t>1070-006-001</t>
  </si>
  <si>
    <t>1080-000-000</t>
  </si>
  <si>
    <t>Estimación de cuentas incobrables</t>
  </si>
  <si>
    <t>H</t>
  </si>
  <si>
    <t>1080-001-000</t>
  </si>
  <si>
    <t>Estimación cuentas incobrables nacional</t>
  </si>
  <si>
    <t>1080-001-001</t>
  </si>
  <si>
    <t>1080-002-000</t>
  </si>
  <si>
    <t>Estimación cuentas incobrables extranjero</t>
  </si>
  <si>
    <t>1080-002-001</t>
  </si>
  <si>
    <t>1080-003-000</t>
  </si>
  <si>
    <t>Estimación cuentas incobrables PRN</t>
  </si>
  <si>
    <t>1080-003-001</t>
  </si>
  <si>
    <t>1080-004-000</t>
  </si>
  <si>
    <t>Estimación cuentas incobrables PRE</t>
  </si>
  <si>
    <t>1080-004-001</t>
  </si>
  <si>
    <t>1090-000-000</t>
  </si>
  <si>
    <t>Pagos anticipados</t>
  </si>
  <si>
    <t>1090-001-000</t>
  </si>
  <si>
    <t>Seguros y fianzas pag x ant NAL</t>
  </si>
  <si>
    <t>1090-001-001</t>
  </si>
  <si>
    <t>1090-002-000</t>
  </si>
  <si>
    <t>Seguros y fianzas pag x ant PRE</t>
  </si>
  <si>
    <t>1090-002-001</t>
  </si>
  <si>
    <t>1090-003-000</t>
  </si>
  <si>
    <t>Seguros y fianzas pag x ant PRN</t>
  </si>
  <si>
    <t>1090-003-001</t>
  </si>
  <si>
    <t>1090-004-000</t>
  </si>
  <si>
    <t>1090-004-001</t>
  </si>
  <si>
    <t>1090-005-000</t>
  </si>
  <si>
    <t>Rentas pag x ant NAL</t>
  </si>
  <si>
    <t>1090-005-001</t>
  </si>
  <si>
    <t>1090-006-000</t>
  </si>
  <si>
    <t xml:space="preserve">Rentas pag x ant EXT </t>
  </si>
  <si>
    <t>1090-006-001</t>
  </si>
  <si>
    <t>1090-007-000</t>
  </si>
  <si>
    <t>Rentas pag x ant PRN</t>
  </si>
  <si>
    <t>1090-007-001</t>
  </si>
  <si>
    <t>1090-008-000</t>
  </si>
  <si>
    <t>Rentas pag x ant PRE</t>
  </si>
  <si>
    <t>1090-008-001</t>
  </si>
  <si>
    <t>1090-009-000</t>
  </si>
  <si>
    <t>Intereses pag x ant NAL</t>
  </si>
  <si>
    <t>1090-009-001</t>
  </si>
  <si>
    <t>1090-010-000</t>
  </si>
  <si>
    <t xml:space="preserve">Intereses pag x ant EXT </t>
  </si>
  <si>
    <t>1090-010-001</t>
  </si>
  <si>
    <t>1090-011-000</t>
  </si>
  <si>
    <t>Intereses pag x ant PRN</t>
  </si>
  <si>
    <t>1090-011-001</t>
  </si>
  <si>
    <t>1090-012-000</t>
  </si>
  <si>
    <t>Intereses pag x ant PRE</t>
  </si>
  <si>
    <t>1090-012-001</t>
  </si>
  <si>
    <t>1090-013-000</t>
  </si>
  <si>
    <t xml:space="preserve">Factoraje financiero pag x ant NAL </t>
  </si>
  <si>
    <t>1090-013-001</t>
  </si>
  <si>
    <t>1090-014-000</t>
  </si>
  <si>
    <t xml:space="preserve">Factoraje financiero pag x ant EXT </t>
  </si>
  <si>
    <t>1090-014-001</t>
  </si>
  <si>
    <t>1090-015-000</t>
  </si>
  <si>
    <t>Factoraje financiero pag x ant PRN</t>
  </si>
  <si>
    <t>1090-015-001</t>
  </si>
  <si>
    <t>1090-016-000</t>
  </si>
  <si>
    <t>Factoraje financiero pag x ant PRE</t>
  </si>
  <si>
    <t>1090-016-001</t>
  </si>
  <si>
    <t>1090-017-000</t>
  </si>
  <si>
    <t>Arrend financiero pag x ant NAL</t>
  </si>
  <si>
    <t>1090-017-001</t>
  </si>
  <si>
    <t>1090-018-000</t>
  </si>
  <si>
    <t xml:space="preserve">Arrend financiero pag x ant EXT </t>
  </si>
  <si>
    <t>1090-018-001</t>
  </si>
  <si>
    <t>1090-019-000</t>
  </si>
  <si>
    <t>Arrend financiero pag x ant PRN</t>
  </si>
  <si>
    <t>1090-019-001</t>
  </si>
  <si>
    <t>1090-020-000</t>
  </si>
  <si>
    <t>Arrend financiero pag x ant PRE</t>
  </si>
  <si>
    <t>1090-020-001</t>
  </si>
  <si>
    <t>1090-021-000</t>
  </si>
  <si>
    <t>Pérdida x deterioro de pagos anticipados</t>
  </si>
  <si>
    <t>A</t>
  </si>
  <si>
    <t>1090-021-001</t>
  </si>
  <si>
    <t>1090-022-000</t>
  </si>
  <si>
    <t>Derechos fiduciarios</t>
  </si>
  <si>
    <t>1090-022-001</t>
  </si>
  <si>
    <t>1090-023-000</t>
  </si>
  <si>
    <t>Otros pagos anticipados</t>
  </si>
  <si>
    <t>1090-023-001</t>
  </si>
  <si>
    <t>1130-000-000</t>
  </si>
  <si>
    <t>Imptos a favor</t>
  </si>
  <si>
    <t>1130-001-000</t>
  </si>
  <si>
    <t xml:space="preserve">IVA a favor </t>
  </si>
  <si>
    <t>1130-001-001</t>
  </si>
  <si>
    <t>1130-002-000</t>
  </si>
  <si>
    <t>ISR a favor</t>
  </si>
  <si>
    <t>1130-002-001</t>
  </si>
  <si>
    <t>1130-003-000</t>
  </si>
  <si>
    <t>IETU a favor</t>
  </si>
  <si>
    <t>1130-003-001</t>
  </si>
  <si>
    <t>1130-004-000</t>
  </si>
  <si>
    <t>IDE a favor</t>
  </si>
  <si>
    <t>1130-004-001</t>
  </si>
  <si>
    <t>1130-005-000</t>
  </si>
  <si>
    <t>Impuesto al Activo (2007) a favor</t>
  </si>
  <si>
    <t>1130-005-001</t>
  </si>
  <si>
    <t>1130-006-000</t>
  </si>
  <si>
    <t>Subsidio al empleo a favor</t>
  </si>
  <si>
    <t>1130-006-001</t>
  </si>
  <si>
    <t>1130-007-000</t>
  </si>
  <si>
    <t>Pago de lo indebido</t>
  </si>
  <si>
    <t>1130-007-001</t>
  </si>
  <si>
    <t>1130-008-000</t>
  </si>
  <si>
    <t>Otros imptos a favor</t>
  </si>
  <si>
    <t>1130-008-001</t>
  </si>
  <si>
    <t>1140-000-000</t>
  </si>
  <si>
    <t>Pagos prov e imptos x acreditar</t>
  </si>
  <si>
    <t>1140-001-000</t>
  </si>
  <si>
    <t>Pagos provisionales de ISR</t>
  </si>
  <si>
    <t>1140-001-001</t>
  </si>
  <si>
    <t>1140-002-000</t>
  </si>
  <si>
    <t>Crédito al diésel x acreditar</t>
  </si>
  <si>
    <t>1140-002-001</t>
  </si>
  <si>
    <t>1140-003-000</t>
  </si>
  <si>
    <t>Otros estímulos x aplicar</t>
  </si>
  <si>
    <t>1140-003-001</t>
  </si>
  <si>
    <t>1150-000-000</t>
  </si>
  <si>
    <t>Inventario (Productos y materiales)</t>
  </si>
  <si>
    <t>1150-001-000</t>
  </si>
  <si>
    <t>1150-001-001</t>
  </si>
  <si>
    <t>1150-002-000</t>
  </si>
  <si>
    <t>Materia prima y materiales</t>
  </si>
  <si>
    <t>1150-002-001</t>
  </si>
  <si>
    <t>1150-003-000</t>
  </si>
  <si>
    <t>Producción en proceso</t>
  </si>
  <si>
    <t>1150-003-001</t>
  </si>
  <si>
    <t>1150-004-000</t>
  </si>
  <si>
    <t>Productos terminados</t>
  </si>
  <si>
    <t>1150-004-001</t>
  </si>
  <si>
    <t>1150-005-000</t>
  </si>
  <si>
    <t>Mercancías en tránsito</t>
  </si>
  <si>
    <t>1150-005-001</t>
  </si>
  <si>
    <t>1150-006-000</t>
  </si>
  <si>
    <t>Mercancías en poder de terceros</t>
  </si>
  <si>
    <t>1150-006-001</t>
  </si>
  <si>
    <t>1150-007-000</t>
  </si>
  <si>
    <t>Otros inventarios</t>
  </si>
  <si>
    <t>1150-007-001</t>
  </si>
  <si>
    <t>1160-000-000</t>
  </si>
  <si>
    <t>Estim inventarios obsoletos y lento mov</t>
  </si>
  <si>
    <t>1160-001-000</t>
  </si>
  <si>
    <t>1160-001-001</t>
  </si>
  <si>
    <t>1170-000-000</t>
  </si>
  <si>
    <t>Obras en proceso de inmuebles</t>
  </si>
  <si>
    <t>1170-001-000</t>
  </si>
  <si>
    <t>1170-001-001</t>
  </si>
  <si>
    <t>1180-000-000</t>
  </si>
  <si>
    <t>Imptos acreds pagados</t>
  </si>
  <si>
    <t>1180-001-000</t>
  </si>
  <si>
    <t>IVA acred pagado</t>
  </si>
  <si>
    <t>1180-001-001</t>
  </si>
  <si>
    <t>IVA acred pagado no ident</t>
  </si>
  <si>
    <t>1180-001-002</t>
  </si>
  <si>
    <t>IVA acred pagado ident con gravados</t>
  </si>
  <si>
    <t>1180-001-003</t>
  </si>
  <si>
    <t>IVA acred pagado ident con EXP</t>
  </si>
  <si>
    <t>1180-001-004</t>
  </si>
  <si>
    <t>IVA acred pagado ident con exentos</t>
  </si>
  <si>
    <t>1180-002-000</t>
  </si>
  <si>
    <t>IVA acred de importación pagado</t>
  </si>
  <si>
    <t>1180-002-001</t>
  </si>
  <si>
    <t>IVA acred pagado en aduana no ident</t>
  </si>
  <si>
    <t>1180-002-002</t>
  </si>
  <si>
    <t>IVA acred pagado en aduana ident con gravados</t>
  </si>
  <si>
    <t>1180-002-003</t>
  </si>
  <si>
    <t>IVA acred pagado en aduana ident con EXP</t>
  </si>
  <si>
    <t>1180-002-004</t>
  </si>
  <si>
    <t>IVA acred pagado aduana ident con exentos</t>
  </si>
  <si>
    <t>1180-002-005</t>
  </si>
  <si>
    <t>IVA acred de importación virtual</t>
  </si>
  <si>
    <t>1180-003-000</t>
  </si>
  <si>
    <t>IEPS acred pagado</t>
  </si>
  <si>
    <t>1180-003-001</t>
  </si>
  <si>
    <t>1180-004-000</t>
  </si>
  <si>
    <t>IEPS acred pagado en importación</t>
  </si>
  <si>
    <t>1180-004-001</t>
  </si>
  <si>
    <t>1190-000-000</t>
  </si>
  <si>
    <t>Imptos acreds x pagar</t>
  </si>
  <si>
    <t>1190-001-000</t>
  </si>
  <si>
    <t xml:space="preserve">   IVA acred pendiente de pago</t>
  </si>
  <si>
    <t>1190-001-001</t>
  </si>
  <si>
    <t>IVA acred no ident provisión</t>
  </si>
  <si>
    <t>1190-001-002</t>
  </si>
  <si>
    <t>IVA acred ident con gravados provisión</t>
  </si>
  <si>
    <t>1190-001-003</t>
  </si>
  <si>
    <t>IVA acred ident con EXP provisión</t>
  </si>
  <si>
    <t>1190-001-004</t>
  </si>
  <si>
    <t>IVA acred ident con exentos provisión</t>
  </si>
  <si>
    <t>1190-002-000</t>
  </si>
  <si>
    <t>IVA de importación pendiente de pago</t>
  </si>
  <si>
    <t>1190-003-000</t>
  </si>
  <si>
    <t>IEPS acred pendiente de pago</t>
  </si>
  <si>
    <t>1190-003-001</t>
  </si>
  <si>
    <t>1190-004-000</t>
  </si>
  <si>
    <t>IEPS pendiente de pago en importación</t>
  </si>
  <si>
    <t>1190-004-001</t>
  </si>
  <si>
    <t>1200-000-000</t>
  </si>
  <si>
    <t>Anticipo a proveedores</t>
  </si>
  <si>
    <t>1200-001-000</t>
  </si>
  <si>
    <t xml:space="preserve">Anticipo a proveedores NAL </t>
  </si>
  <si>
    <t>1200-001-001</t>
  </si>
  <si>
    <t>1200-002-000</t>
  </si>
  <si>
    <t xml:space="preserve">Anticipo a proveedores EXT </t>
  </si>
  <si>
    <t>1200-002-001</t>
  </si>
  <si>
    <t>1200-003-000</t>
  </si>
  <si>
    <t>Anticipo a proveedores PRN</t>
  </si>
  <si>
    <t>1200-003-001</t>
  </si>
  <si>
    <t>1200-004-000</t>
  </si>
  <si>
    <t>Anticipo a proveedores PRE</t>
  </si>
  <si>
    <t>1200-004-001</t>
  </si>
  <si>
    <t>1210-000-000</t>
  </si>
  <si>
    <t>Otros activos a CP</t>
  </si>
  <si>
    <t>1210-001-000</t>
  </si>
  <si>
    <t>1210-001-001</t>
  </si>
  <si>
    <t>151</t>
  </si>
  <si>
    <t>1510-000-000</t>
  </si>
  <si>
    <t>Activos fijos</t>
  </si>
  <si>
    <t>1510-001-000</t>
  </si>
  <si>
    <t>Terrenos</t>
  </si>
  <si>
    <t>1510-001-001</t>
  </si>
  <si>
    <t>1510-002-000</t>
  </si>
  <si>
    <t>Edificios</t>
  </si>
  <si>
    <t>1510-002-001</t>
  </si>
  <si>
    <t>1510-003-000</t>
  </si>
  <si>
    <t>Maquinaria y equipo</t>
  </si>
  <si>
    <t>1510-003-001</t>
  </si>
  <si>
    <t>1510-004-000</t>
  </si>
  <si>
    <t>Equipo de transporte</t>
  </si>
  <si>
    <t>1510-004-001</t>
  </si>
  <si>
    <t>1510-005-000</t>
  </si>
  <si>
    <t>Mobiliario y equipo de oficina</t>
  </si>
  <si>
    <t>1510-005-001</t>
  </si>
  <si>
    <t>1510-006-000</t>
  </si>
  <si>
    <t>Equipo de cómputo</t>
  </si>
  <si>
    <t>1510-006-001</t>
  </si>
  <si>
    <t>1510-007-000</t>
  </si>
  <si>
    <t>Adaptaciones y mejoras</t>
  </si>
  <si>
    <t>1510-007-001</t>
  </si>
  <si>
    <t>171</t>
  </si>
  <si>
    <t>1710-000-000</t>
  </si>
  <si>
    <t>Depr acum de activos fijos</t>
  </si>
  <si>
    <t>1710-001-000</t>
  </si>
  <si>
    <t>Depr acum de edificios</t>
  </si>
  <si>
    <t>1710-001-001</t>
  </si>
  <si>
    <t>1710-002-000</t>
  </si>
  <si>
    <t>Depr acum de maquinaria y equipo</t>
  </si>
  <si>
    <t>1710-002-001</t>
  </si>
  <si>
    <t>1710-003-000</t>
  </si>
  <si>
    <t>Depr acum de equipo de transporte</t>
  </si>
  <si>
    <t>1710-003-001</t>
  </si>
  <si>
    <t>1710-004-000</t>
  </si>
  <si>
    <t>Depr acum de mobiliario y equipo oficina</t>
  </si>
  <si>
    <t>1710-004-001</t>
  </si>
  <si>
    <t>1710-005-000</t>
  </si>
  <si>
    <t>Depr acum de equipo de cómputo</t>
  </si>
  <si>
    <t>1710-005-001</t>
  </si>
  <si>
    <t>1710-006-000</t>
  </si>
  <si>
    <t>Depr acum de adaptaciones y mejoras</t>
  </si>
  <si>
    <t>1710-006-001</t>
  </si>
  <si>
    <t>172</t>
  </si>
  <si>
    <t>1720-000-000</t>
  </si>
  <si>
    <t>Pérdida x deterioro acum de activos fijos</t>
  </si>
  <si>
    <t>1720-001-000</t>
  </si>
  <si>
    <t>Pérdida x deterioro acum de edificios</t>
  </si>
  <si>
    <t>1720-001-001</t>
  </si>
  <si>
    <t>1720-002-000</t>
  </si>
  <si>
    <t>Pérdida x deterioro acum de maquinaria</t>
  </si>
  <si>
    <t>1720-002-001</t>
  </si>
  <si>
    <t>1720-003-000</t>
  </si>
  <si>
    <t>Pérdida x deterioro acum eq transporte</t>
  </si>
  <si>
    <t>1720-003-001</t>
  </si>
  <si>
    <t>1720-004-000</t>
  </si>
  <si>
    <t>Pérdida x deterioro acum de mobiliario</t>
  </si>
  <si>
    <t>1720-004-001</t>
  </si>
  <si>
    <t>1720-005-000</t>
  </si>
  <si>
    <t>Pérdida x deterioro acum eq de cómputo</t>
  </si>
  <si>
    <t>1720-005-001</t>
  </si>
  <si>
    <t>1720-006-000</t>
  </si>
  <si>
    <t>Pérdida x deterioro acum eq comunicación</t>
  </si>
  <si>
    <t>1720-006-001</t>
  </si>
  <si>
    <t>173</t>
  </si>
  <si>
    <t>1730-000-000</t>
  </si>
  <si>
    <t>Gastos diferidos</t>
  </si>
  <si>
    <t>1730-001-000</t>
  </si>
  <si>
    <t>1730-001-001</t>
  </si>
  <si>
    <t>1730-002-000</t>
  </si>
  <si>
    <t xml:space="preserve">   Gastos pre operativos</t>
  </si>
  <si>
    <t>1730-002-001</t>
  </si>
  <si>
    <t>1730-003-000</t>
  </si>
  <si>
    <t>Regalías, asist técnica, otros diferidos</t>
  </si>
  <si>
    <t>1730-003-001</t>
  </si>
  <si>
    <t>1730-004-000</t>
  </si>
  <si>
    <t>Activos intangibles</t>
  </si>
  <si>
    <t>1730-004-001</t>
  </si>
  <si>
    <t>1730-005-000</t>
  </si>
  <si>
    <t>Gastos de organización</t>
  </si>
  <si>
    <t>1730-005-001</t>
  </si>
  <si>
    <t>1730-006-000</t>
  </si>
  <si>
    <t>Investigación y desarrollo de mercado</t>
  </si>
  <si>
    <t>1730-006-001</t>
  </si>
  <si>
    <t>1730-007-000</t>
  </si>
  <si>
    <t>Marcas y patentes</t>
  </si>
  <si>
    <t>1730-007-001</t>
  </si>
  <si>
    <t>1730-008-000</t>
  </si>
  <si>
    <t>Crédito mercantil</t>
  </si>
  <si>
    <t>1730-008-001</t>
  </si>
  <si>
    <t>1730-009-000</t>
  </si>
  <si>
    <t>Gastos de instalación</t>
  </si>
  <si>
    <t>1730-009-001</t>
  </si>
  <si>
    <t>1730-010-000</t>
  </si>
  <si>
    <t>Otros activos diferidos</t>
  </si>
  <si>
    <t>1730-010-001</t>
  </si>
  <si>
    <t>183</t>
  </si>
  <si>
    <t>1830-000-000</t>
  </si>
  <si>
    <t>Amort de activos diferidos</t>
  </si>
  <si>
    <t>1830-001-000</t>
  </si>
  <si>
    <t>Amort de gastos diferidos</t>
  </si>
  <si>
    <t>1830-001-001</t>
  </si>
  <si>
    <t>1830-002-000</t>
  </si>
  <si>
    <t>Amort de gastos pre operativos</t>
  </si>
  <si>
    <t>1830-002-001</t>
  </si>
  <si>
    <t>1830-003-000</t>
  </si>
  <si>
    <t>Amort regalías, asist técnica y otros</t>
  </si>
  <si>
    <t>1830-003-001</t>
  </si>
  <si>
    <t>1830-004-000</t>
  </si>
  <si>
    <t>Amort de activos intangibles</t>
  </si>
  <si>
    <t>1830-004-001</t>
  </si>
  <si>
    <t>1830-005-000</t>
  </si>
  <si>
    <t>Amort de gastos de organización</t>
  </si>
  <si>
    <t>1830-005-001</t>
  </si>
  <si>
    <t>1830-006-000</t>
  </si>
  <si>
    <t>Amort investigación y des mercado</t>
  </si>
  <si>
    <t>1830-006-001</t>
  </si>
  <si>
    <t>1830-007-000</t>
  </si>
  <si>
    <t>Amort de marcas y patentes</t>
  </si>
  <si>
    <t>1830-007-001</t>
  </si>
  <si>
    <t>1830-008-000</t>
  </si>
  <si>
    <t>Amort de crédito mercantil</t>
  </si>
  <si>
    <t>1830-008-001</t>
  </si>
  <si>
    <t>1830-009-000</t>
  </si>
  <si>
    <t>Amort de gastos de instalación</t>
  </si>
  <si>
    <t>1830-009-001</t>
  </si>
  <si>
    <t>1830-010-000</t>
  </si>
  <si>
    <t>Amort de otros activos diferidos</t>
  </si>
  <si>
    <t>1830-010-001</t>
  </si>
  <si>
    <t>184</t>
  </si>
  <si>
    <t>1840-000-000</t>
  </si>
  <si>
    <t>Depósitos en garantía</t>
  </si>
  <si>
    <t>1840-001-000</t>
  </si>
  <si>
    <t>Depósitos de fianzas</t>
  </si>
  <si>
    <t>1840-001-001</t>
  </si>
  <si>
    <t>1840-002-000</t>
  </si>
  <si>
    <t>Depósitos de arrend de bienes inmuebles</t>
  </si>
  <si>
    <t>1840-002-001</t>
  </si>
  <si>
    <t>1840-003-000</t>
  </si>
  <si>
    <t>Otros depósitos en garantía</t>
  </si>
  <si>
    <t>1840-003-001</t>
  </si>
  <si>
    <t>185</t>
  </si>
  <si>
    <t>1850-000-000</t>
  </si>
  <si>
    <t>Imptos y PTU diferidos activos</t>
  </si>
  <si>
    <t>1850-001-000</t>
  </si>
  <si>
    <t>Imptos diferidos ISR activos</t>
  </si>
  <si>
    <t>1850-001-001</t>
  </si>
  <si>
    <t>1850-002-000</t>
  </si>
  <si>
    <t>PTU diferida activa</t>
  </si>
  <si>
    <t>1850-002-001</t>
  </si>
  <si>
    <t>1860-000-000</t>
  </si>
  <si>
    <t>Documentos x cobrar a LP</t>
  </si>
  <si>
    <t>1860-001-000</t>
  </si>
  <si>
    <t>Documentos x cobrar a LPN</t>
  </si>
  <si>
    <t>1860-001-001</t>
  </si>
  <si>
    <t>1860-002-000</t>
  </si>
  <si>
    <t>Documentos x cobrar a LPE</t>
  </si>
  <si>
    <t>1860-002-001</t>
  </si>
  <si>
    <t>1860-003-000</t>
  </si>
  <si>
    <t>Documentos x cobrar a LP PRN</t>
  </si>
  <si>
    <t>1860-003-001</t>
  </si>
  <si>
    <t>1860-004-000</t>
  </si>
  <si>
    <t>Documentos x cobrar a LP PRE</t>
  </si>
  <si>
    <t>1860-004-001</t>
  </si>
  <si>
    <t>1860-005-000</t>
  </si>
  <si>
    <t>Intereses x cobrar a LPN</t>
  </si>
  <si>
    <t>1860-005-001</t>
  </si>
  <si>
    <t>1860-006-000</t>
  </si>
  <si>
    <t>Intereses x cobrar a LPE</t>
  </si>
  <si>
    <t>1860-006-001</t>
  </si>
  <si>
    <t>1860-007-000</t>
  </si>
  <si>
    <t>Intereses x cobrar a LP PRN</t>
  </si>
  <si>
    <t>1860-007-001</t>
  </si>
  <si>
    <t>1860-008-000</t>
  </si>
  <si>
    <t>Intereses x cobrar a LP PRE</t>
  </si>
  <si>
    <t>1860-008-001</t>
  </si>
  <si>
    <t>1860-009-000</t>
  </si>
  <si>
    <t>Otras Documentos x cobrar a LP</t>
  </si>
  <si>
    <t>1860-009-001</t>
  </si>
  <si>
    <t>1860-010-000</t>
  </si>
  <si>
    <t>Otros Documentos x cobrar a LP PRE</t>
  </si>
  <si>
    <t>1860-010-001</t>
  </si>
  <si>
    <t>188</t>
  </si>
  <si>
    <t>1880-000-000</t>
  </si>
  <si>
    <t>Inversiones permanentes en acciones</t>
  </si>
  <si>
    <t>1880-001-000</t>
  </si>
  <si>
    <t>Inversiones a LP en subsidiarias</t>
  </si>
  <si>
    <t>1880-001-001</t>
  </si>
  <si>
    <t>1880-002-000</t>
  </si>
  <si>
    <t>Inversiones a LP en asociadas</t>
  </si>
  <si>
    <t>1880-002-001</t>
  </si>
  <si>
    <t>1880-003-000</t>
  </si>
  <si>
    <t>Otras inversiones permanentes en acciones</t>
  </si>
  <si>
    <t>1880-003-001</t>
  </si>
  <si>
    <t>189</t>
  </si>
  <si>
    <t>1890-000-000</t>
  </si>
  <si>
    <t>Estim x deterioro inversiones perm acc</t>
  </si>
  <si>
    <t>1890-001-000</t>
  </si>
  <si>
    <t>Estim x deterioro inv perm acciones</t>
  </si>
  <si>
    <t>1890-001-001</t>
  </si>
  <si>
    <t>201</t>
  </si>
  <si>
    <t>2010-000-000</t>
  </si>
  <si>
    <t xml:space="preserve">Proveedores </t>
  </si>
  <si>
    <t>2010-001-000</t>
  </si>
  <si>
    <t>Proveedores nacionales</t>
  </si>
  <si>
    <t>2010-001-001</t>
  </si>
  <si>
    <t>2010-002-000</t>
  </si>
  <si>
    <t>Proveedores extranjeros</t>
  </si>
  <si>
    <t>2010-002-001</t>
  </si>
  <si>
    <t>2010-003-000</t>
  </si>
  <si>
    <t>Proveedores nacionales parte relacionada</t>
  </si>
  <si>
    <t>2010-003-001</t>
  </si>
  <si>
    <t>2010-004-000</t>
  </si>
  <si>
    <t>Proveedores extranjeros parte relacionada</t>
  </si>
  <si>
    <t>2010-004-001</t>
  </si>
  <si>
    <t>202</t>
  </si>
  <si>
    <t>2020-000-000</t>
  </si>
  <si>
    <t>Documentos x pagar a Corto Pplazo</t>
  </si>
  <si>
    <t>2020-001-000</t>
  </si>
  <si>
    <t>Documentos x pagar bancario NAL</t>
  </si>
  <si>
    <t>2020-001-001</t>
  </si>
  <si>
    <t>2020-002-000</t>
  </si>
  <si>
    <t>Documentos x pagar bancario EXT</t>
  </si>
  <si>
    <t>2020-002-001</t>
  </si>
  <si>
    <t>2020-003-000</t>
  </si>
  <si>
    <t>Documentos y cuentas x pagar a CP NAL</t>
  </si>
  <si>
    <t>2020-003-001</t>
  </si>
  <si>
    <t>2020-004-000</t>
  </si>
  <si>
    <t>Documentos x pagar a CP EXT</t>
  </si>
  <si>
    <t>2020-004-001</t>
  </si>
  <si>
    <t>2020-005-000</t>
  </si>
  <si>
    <t>Documentos x pagar a CP PRN</t>
  </si>
  <si>
    <t>2020-005-001</t>
  </si>
  <si>
    <t>2020-006-000</t>
  </si>
  <si>
    <t>Documentos y cuentas x pagar a CP PRE</t>
  </si>
  <si>
    <t>2020-006-001</t>
  </si>
  <si>
    <t>2020-007-000</t>
  </si>
  <si>
    <t>Interés x pagar a CP nacional</t>
  </si>
  <si>
    <t>2020-007-001</t>
  </si>
  <si>
    <t>2020-008-000</t>
  </si>
  <si>
    <t>Interés x pagar a CP extranjero</t>
  </si>
  <si>
    <t>2020-008-001</t>
  </si>
  <si>
    <t>2020-009-000</t>
  </si>
  <si>
    <t>Interés x pagar a CP PRN</t>
  </si>
  <si>
    <t>2020-009-001</t>
  </si>
  <si>
    <t>2020-010-000</t>
  </si>
  <si>
    <t>Interés x pagar a CP PRE</t>
  </si>
  <si>
    <t>2020-010-001</t>
  </si>
  <si>
    <t>2020-011-000</t>
  </si>
  <si>
    <t>Dividendo x pagar nacional</t>
  </si>
  <si>
    <t>2020-011-001</t>
  </si>
  <si>
    <t>2020-012-000</t>
  </si>
  <si>
    <t>Dividendo x pagar extranjero</t>
  </si>
  <si>
    <t>2020-012-001</t>
  </si>
  <si>
    <t>203</t>
  </si>
  <si>
    <t>2030-000-000</t>
  </si>
  <si>
    <t>Cobros anticipados pasivo a CP</t>
  </si>
  <si>
    <t>2030-001-000</t>
  </si>
  <si>
    <t>Rentas cobradas x antic a CP nacional</t>
  </si>
  <si>
    <t>2030-001-001</t>
  </si>
  <si>
    <t>2030-002-000</t>
  </si>
  <si>
    <t>Rentas cobradas x antic a CP extranjero</t>
  </si>
  <si>
    <t>2030-002-001</t>
  </si>
  <si>
    <t>2030-003-000</t>
  </si>
  <si>
    <t>Rentas cobradas x anticipado a CP PRN</t>
  </si>
  <si>
    <t>2030-003-001</t>
  </si>
  <si>
    <t>2030-004-000</t>
  </si>
  <si>
    <t>Rentas cobradas x anticipado a CP PRE</t>
  </si>
  <si>
    <t>2030-004-001</t>
  </si>
  <si>
    <t>2030-005-000</t>
  </si>
  <si>
    <t>Intereses cobrados x anticipado a CP NAL</t>
  </si>
  <si>
    <t>2030-005-001</t>
  </si>
  <si>
    <t>2030-006-000</t>
  </si>
  <si>
    <t>Intereses cobrados x anticipado a CP EXT</t>
  </si>
  <si>
    <t>2030-006-001</t>
  </si>
  <si>
    <t>2030-007-000</t>
  </si>
  <si>
    <t>Intereses cobrados x anticipado a CP PRN</t>
  </si>
  <si>
    <t>2030-007-001</t>
  </si>
  <si>
    <t>2030-008-000</t>
  </si>
  <si>
    <t>Intereses cobrados x anticipado a CP PRE</t>
  </si>
  <si>
    <t>2030-008-001</t>
  </si>
  <si>
    <t>2030-009-000</t>
  </si>
  <si>
    <t>Factoraje financiero cob x ant a CP nacional</t>
  </si>
  <si>
    <t>2030-009-001</t>
  </si>
  <si>
    <t>2030-010-000</t>
  </si>
  <si>
    <t>Factoraje financiero cob x ant a CP EXT</t>
  </si>
  <si>
    <t>2030-010-001</t>
  </si>
  <si>
    <t>2030-011-000</t>
  </si>
  <si>
    <t>Factoraje financiero cob x ant a CP PRN</t>
  </si>
  <si>
    <t>2030-011-001</t>
  </si>
  <si>
    <t>2030-012-000</t>
  </si>
  <si>
    <t>Factoraje financiero cob x ant a CP PRE</t>
  </si>
  <si>
    <t>2030-012-001</t>
  </si>
  <si>
    <t>2030-013-000</t>
  </si>
  <si>
    <t>Arrend financiero cob x ant a CP NAL</t>
  </si>
  <si>
    <t>2030-013-001</t>
  </si>
  <si>
    <t>2030-014-000</t>
  </si>
  <si>
    <t>Arrend financiero cob x ant a CP EXT</t>
  </si>
  <si>
    <t>2030-014-001</t>
  </si>
  <si>
    <t>2030-015-000</t>
  </si>
  <si>
    <t>Arrend financiero cob x ant a CP PRN</t>
  </si>
  <si>
    <t>2030-015-001</t>
  </si>
  <si>
    <t>2030-016-000</t>
  </si>
  <si>
    <t>Arrend financiero cob x ant a CP PRE</t>
  </si>
  <si>
    <t>2030-016-001</t>
  </si>
  <si>
    <t>2030-017-000</t>
  </si>
  <si>
    <t>2030-017-001</t>
  </si>
  <si>
    <t>2030-018-000</t>
  </si>
  <si>
    <t>Otros cobros anticipados</t>
  </si>
  <si>
    <t>2030-018-001</t>
  </si>
  <si>
    <t>204</t>
  </si>
  <si>
    <t>2040-000-000</t>
  </si>
  <si>
    <t>Instrumentos financieros pasivo a CP</t>
  </si>
  <si>
    <t>2040-001-000</t>
  </si>
  <si>
    <t>Instrumentos financieros a CP</t>
  </si>
  <si>
    <t>2040-001-001</t>
  </si>
  <si>
    <t>205</t>
  </si>
  <si>
    <t>2050-000-000</t>
  </si>
  <si>
    <t>Acreedores diversos a CP</t>
  </si>
  <si>
    <t>2050-001-000</t>
  </si>
  <si>
    <t>Socios, accionistas o representante legal</t>
  </si>
  <si>
    <t>2050-001-001</t>
  </si>
  <si>
    <t>2050-002-000</t>
  </si>
  <si>
    <t>Acreedores diversos a CP nacional</t>
  </si>
  <si>
    <t>2050-002-001</t>
  </si>
  <si>
    <t>2050-003-000</t>
  </si>
  <si>
    <t>Acreedores diversos a CP extranjero</t>
  </si>
  <si>
    <t>2050-003-001</t>
  </si>
  <si>
    <t>2050-004-000</t>
  </si>
  <si>
    <t>Acreedores diversos a CP PRN</t>
  </si>
  <si>
    <t>2050-004-001</t>
  </si>
  <si>
    <t>2050-005-000</t>
  </si>
  <si>
    <t>Acreedores diversos a CP PRE</t>
  </si>
  <si>
    <t>2050-005-001</t>
  </si>
  <si>
    <t>2050-006-000</t>
  </si>
  <si>
    <t>Otros acreedores diversos a CP</t>
  </si>
  <si>
    <t>2050-006-001</t>
  </si>
  <si>
    <t>2050-007-000</t>
  </si>
  <si>
    <t>Pagos x cuenta de terceros (pasivo)</t>
  </si>
  <si>
    <t>2050-007-001</t>
  </si>
  <si>
    <t>206</t>
  </si>
  <si>
    <t>2060-000-000</t>
  </si>
  <si>
    <t>Anticipo de cliente pasivo a CP</t>
  </si>
  <si>
    <t>2060-001-000</t>
  </si>
  <si>
    <t>Anticipo de cliente nacional</t>
  </si>
  <si>
    <t>2060-001-001</t>
  </si>
  <si>
    <t>2060-002-000</t>
  </si>
  <si>
    <t>Anticipo de cliente extranjero</t>
  </si>
  <si>
    <t>2060-002-001</t>
  </si>
  <si>
    <t>2060-003-000</t>
  </si>
  <si>
    <t>Anticipo de cliente PRN</t>
  </si>
  <si>
    <t>2060-003-001</t>
  </si>
  <si>
    <t>2060-004-000</t>
  </si>
  <si>
    <t>Anticipo de cliente PRE</t>
  </si>
  <si>
    <t>2060-004-001</t>
  </si>
  <si>
    <t>2060-005-000</t>
  </si>
  <si>
    <t>Otros anticipos de clientes</t>
  </si>
  <si>
    <t>2060-005-001</t>
  </si>
  <si>
    <t>2080-000-000</t>
  </si>
  <si>
    <t>Imptos trasladados x pagar cobrados</t>
  </si>
  <si>
    <t>2080-001-000</t>
  </si>
  <si>
    <t>IVA trasladado (x pagar) cobrado</t>
  </si>
  <si>
    <t>2080-001-001</t>
  </si>
  <si>
    <t>2080-002-000</t>
  </si>
  <si>
    <t>IEPS trasladado (x pagar) cobrado</t>
  </si>
  <si>
    <t>2080-002-001</t>
  </si>
  <si>
    <t>2090-000-000</t>
  </si>
  <si>
    <t>Imptos trasladados x pagar no cobrados</t>
  </si>
  <si>
    <t>2090-001-000</t>
  </si>
  <si>
    <t>IVA trasladado (x pagar) no cobrado</t>
  </si>
  <si>
    <t>2090-001-001</t>
  </si>
  <si>
    <t>2090-002-000</t>
  </si>
  <si>
    <t>IEPS trasladado (x pagar) no cobrado</t>
  </si>
  <si>
    <t>2090-002-001</t>
  </si>
  <si>
    <t>210</t>
  </si>
  <si>
    <t>2100-000-000</t>
  </si>
  <si>
    <t>Provisión de sueldos y salarios x pagar</t>
  </si>
  <si>
    <t>2100-001-000</t>
  </si>
  <si>
    <t>2100-001-001</t>
  </si>
  <si>
    <t>2100-002-000</t>
  </si>
  <si>
    <t>Provisión de vacaciones x pagar</t>
  </si>
  <si>
    <t>2100-002-001</t>
  </si>
  <si>
    <t>2100-003-000</t>
  </si>
  <si>
    <t>Provisión de aguinaldo x pagar</t>
  </si>
  <si>
    <t>2100-003-001</t>
  </si>
  <si>
    <t>2100-004-000</t>
  </si>
  <si>
    <t>Provisión de fondo de ahorro x pagar</t>
  </si>
  <si>
    <t>2100-004-001</t>
  </si>
  <si>
    <t>2100-005-000</t>
  </si>
  <si>
    <t>Provisión de asimilados a salarios x pagar</t>
  </si>
  <si>
    <t>2100-005-001</t>
  </si>
  <si>
    <t>2100-006-000</t>
  </si>
  <si>
    <t>Provisión antic remanentes x distribuir</t>
  </si>
  <si>
    <t>2100-006-001</t>
  </si>
  <si>
    <t>2100-007-000</t>
  </si>
  <si>
    <t>Provisión otros sueldos y salarios x pagar</t>
  </si>
  <si>
    <t>2100-007-001</t>
  </si>
  <si>
    <t>213</t>
  </si>
  <si>
    <t>2130-000-000</t>
  </si>
  <si>
    <t>Contribuciones x pagar</t>
  </si>
  <si>
    <t>2130-001-000</t>
  </si>
  <si>
    <t>IVA x pagar</t>
  </si>
  <si>
    <t>2130-001-001</t>
  </si>
  <si>
    <t>2130-002-000</t>
  </si>
  <si>
    <t>IEPS x pagar</t>
  </si>
  <si>
    <t>2130-002-001</t>
  </si>
  <si>
    <t>2130-003-000</t>
  </si>
  <si>
    <t>ISR x pagar</t>
  </si>
  <si>
    <t>2130-003-001</t>
  </si>
  <si>
    <t>2130-004-000</t>
  </si>
  <si>
    <t>Impuesto estatal sobre nómina x pagar</t>
  </si>
  <si>
    <t>2130-004-001</t>
  </si>
  <si>
    <t>2130-005-000</t>
  </si>
  <si>
    <t>Impuesto estatal y municipal x pagar</t>
  </si>
  <si>
    <t>2130-005-001</t>
  </si>
  <si>
    <t>2130-006-000</t>
  </si>
  <si>
    <t>Derechos x pagar</t>
  </si>
  <si>
    <t>2130-006-001</t>
  </si>
  <si>
    <t>2130-007-000</t>
  </si>
  <si>
    <t>Otros imptos x pagar</t>
  </si>
  <si>
    <t>2130-007-001</t>
  </si>
  <si>
    <t>2130-008-000</t>
  </si>
  <si>
    <t>Provisión de IMSS x pagar</t>
  </si>
  <si>
    <t>2130-008-001</t>
  </si>
  <si>
    <t>2130-009-000</t>
  </si>
  <si>
    <t>Provisión de SAR x pagar</t>
  </si>
  <si>
    <t>2130-009-001</t>
  </si>
  <si>
    <t>2130-010-000</t>
  </si>
  <si>
    <t>Provisión de Infonavit x pagar</t>
  </si>
  <si>
    <t>2130-010-001</t>
  </si>
  <si>
    <t>215</t>
  </si>
  <si>
    <t>2150-000-000</t>
  </si>
  <si>
    <t>PTU x pagar</t>
  </si>
  <si>
    <t>2150-001-000</t>
  </si>
  <si>
    <t>2150-001-001</t>
  </si>
  <si>
    <t>2150-002-000</t>
  </si>
  <si>
    <t>PTU x pagar de ejercicios anteriores</t>
  </si>
  <si>
    <t>2150-002-001</t>
  </si>
  <si>
    <t>2150-003-000</t>
  </si>
  <si>
    <t>Provisión de PTU x pagar</t>
  </si>
  <si>
    <t>2150-003-001</t>
  </si>
  <si>
    <t>216</t>
  </si>
  <si>
    <t>2160-000-000</t>
  </si>
  <si>
    <t>Imptos retenidos x pagar</t>
  </si>
  <si>
    <t>2160-001-000</t>
  </si>
  <si>
    <t xml:space="preserve">ISR retenido x sueldos y salarios </t>
  </si>
  <si>
    <t>2160-001-001</t>
  </si>
  <si>
    <t>2160-002-000</t>
  </si>
  <si>
    <t>ISR retenido x asimilados a salarios</t>
  </si>
  <si>
    <t>2160-002-001</t>
  </si>
  <si>
    <t>2160-003-000</t>
  </si>
  <si>
    <t>IVA retenido x honorarios, fletes y otros</t>
  </si>
  <si>
    <t>2160-003-001</t>
  </si>
  <si>
    <t>2160-004-000</t>
  </si>
  <si>
    <t>ISR retenido x arrendamiento</t>
  </si>
  <si>
    <t>2160-004-001</t>
  </si>
  <si>
    <t>2160-005-000</t>
  </si>
  <si>
    <t>ISR retenido x servicios profesionales</t>
  </si>
  <si>
    <t>2160-005-001</t>
  </si>
  <si>
    <t>2160-006-000</t>
  </si>
  <si>
    <t>ISR retenido x dividendos</t>
  </si>
  <si>
    <t>2160-006-001</t>
  </si>
  <si>
    <t>2160-007-000</t>
  </si>
  <si>
    <t>ISR retenido x intereses</t>
  </si>
  <si>
    <t>2160-007-001</t>
  </si>
  <si>
    <t>2160-008-000</t>
  </si>
  <si>
    <t>ISR retenido x pagos al extranjero</t>
  </si>
  <si>
    <t>2160-008-001</t>
  </si>
  <si>
    <t>2160-009-000</t>
  </si>
  <si>
    <t>ISR retenido x venta de acciones</t>
  </si>
  <si>
    <t>2160-009-001</t>
  </si>
  <si>
    <t>2160-010-000</t>
  </si>
  <si>
    <t>ISR retenido x venta de partes sociales</t>
  </si>
  <si>
    <t>2160-010-001</t>
  </si>
  <si>
    <t>2160-011-000</t>
  </si>
  <si>
    <t>IMSS retenido a los trabajadores</t>
  </si>
  <si>
    <t>2160-011-001</t>
  </si>
  <si>
    <t>2160-012-000</t>
  </si>
  <si>
    <t>Otros imptos retenidos x pagar</t>
  </si>
  <si>
    <t>2160-012-001</t>
  </si>
  <si>
    <t>218</t>
  </si>
  <si>
    <t>2180-000-000</t>
  </si>
  <si>
    <t>Otros pasivos a CP</t>
  </si>
  <si>
    <t>2180-001-000</t>
  </si>
  <si>
    <t>2180-001-001</t>
  </si>
  <si>
    <t>2180-002-000</t>
  </si>
  <si>
    <t>Provisiones de costo y gasto</t>
  </si>
  <si>
    <t>2180-002-001</t>
  </si>
  <si>
    <t>2180-003-000</t>
  </si>
  <si>
    <t>Provision de publicidad</t>
  </si>
  <si>
    <t>2180-003-001</t>
  </si>
  <si>
    <t>252</t>
  </si>
  <si>
    <t>2520-000-000</t>
  </si>
  <si>
    <t>Documentos x pagar a Largo Plazo</t>
  </si>
  <si>
    <t>2520-001-000</t>
  </si>
  <si>
    <t xml:space="preserve">Documentos bancarios x pagar a LP NAL </t>
  </si>
  <si>
    <t>2520-001-001</t>
  </si>
  <si>
    <t>2520-002-000</t>
  </si>
  <si>
    <t>Documentos bancarios x pagar a LPE</t>
  </si>
  <si>
    <t>2520-002-001</t>
  </si>
  <si>
    <t>2520-003-000</t>
  </si>
  <si>
    <t>Documentos y cuentas x pagar a LPN</t>
  </si>
  <si>
    <t>2520-003-001</t>
  </si>
  <si>
    <t>2520-004-000</t>
  </si>
  <si>
    <t>Documentos y cuentas x pagar a LPE</t>
  </si>
  <si>
    <t>2520-004-001</t>
  </si>
  <si>
    <t>2520-005-000</t>
  </si>
  <si>
    <t>Documentos y cuentas x pagar a LP PRN</t>
  </si>
  <si>
    <t>2520-005-001</t>
  </si>
  <si>
    <t>2520-006-000</t>
  </si>
  <si>
    <t>Documentos y cuentas x pagar a LP PRE</t>
  </si>
  <si>
    <t>2520-006-001</t>
  </si>
  <si>
    <t>2520-007-000</t>
  </si>
  <si>
    <t>Hipotecas x pagar a LPN</t>
  </si>
  <si>
    <t>2520-007-001</t>
  </si>
  <si>
    <t>2520-008-000</t>
  </si>
  <si>
    <t>Hipotecas x pagar a LPE</t>
  </si>
  <si>
    <t>2520-008-001</t>
  </si>
  <si>
    <t>2520-009-000</t>
  </si>
  <si>
    <t>Hipotecas x pagar a LP PRN</t>
  </si>
  <si>
    <t>2520-009-001</t>
  </si>
  <si>
    <t>2520-010-000</t>
  </si>
  <si>
    <t>Hipotecas x pagar a LP PRE</t>
  </si>
  <si>
    <t>2520-010-001</t>
  </si>
  <si>
    <t>2520-011-000</t>
  </si>
  <si>
    <t>Intereses x pagar a LPN</t>
  </si>
  <si>
    <t>2520-011-001</t>
  </si>
  <si>
    <t>2520-012-000</t>
  </si>
  <si>
    <t>Intereses x pagar a LPE</t>
  </si>
  <si>
    <t>2520-012-001</t>
  </si>
  <si>
    <t>2520-013-000</t>
  </si>
  <si>
    <t>Intereses x pagar a LP PRN</t>
  </si>
  <si>
    <t>2520-013-001</t>
  </si>
  <si>
    <t>2520-014-000</t>
  </si>
  <si>
    <t>Intereses x pagar a LP PRE</t>
  </si>
  <si>
    <t>2520-014-001</t>
  </si>
  <si>
    <t>2520-015-000</t>
  </si>
  <si>
    <t>Dividendos x pagar NAL</t>
  </si>
  <si>
    <t>2520-015-001</t>
  </si>
  <si>
    <t>2520-016-000</t>
  </si>
  <si>
    <t>Dividendos x pagar EXT</t>
  </si>
  <si>
    <t>2520-016-001</t>
  </si>
  <si>
    <t>2520-017-000</t>
  </si>
  <si>
    <t>Otras Documentos x pagar a LP</t>
  </si>
  <si>
    <t>2520-017-001</t>
  </si>
  <si>
    <t>259</t>
  </si>
  <si>
    <t>2590-000-000</t>
  </si>
  <si>
    <t>Imptos y PTU diferidos pasivos</t>
  </si>
  <si>
    <t>2590-001-000</t>
  </si>
  <si>
    <t>ISR diferido pasivo</t>
  </si>
  <si>
    <t>2590-001-001</t>
  </si>
  <si>
    <t>2590-002-000</t>
  </si>
  <si>
    <t>ISR x dividendo diferido pasivo</t>
  </si>
  <si>
    <t>2590-002-001</t>
  </si>
  <si>
    <t>2590-003-000</t>
  </si>
  <si>
    <t>Otros imptos diferidos pasivo</t>
  </si>
  <si>
    <t>2590-003-001</t>
  </si>
  <si>
    <t>2590-004-000</t>
  </si>
  <si>
    <t>PTU diferida pasivo</t>
  </si>
  <si>
    <t>2590-004-001</t>
  </si>
  <si>
    <t>260</t>
  </si>
  <si>
    <t>2600-000-000</t>
  </si>
  <si>
    <t>Pasivos diferidos</t>
  </si>
  <si>
    <t>2600-001-000</t>
  </si>
  <si>
    <t>2600-001-001</t>
  </si>
  <si>
    <t>301</t>
  </si>
  <si>
    <t>3010-000-000</t>
  </si>
  <si>
    <t>Capital social</t>
  </si>
  <si>
    <t>3010-001-000</t>
  </si>
  <si>
    <t>Capital fijo</t>
  </si>
  <si>
    <t>3010-001-001</t>
  </si>
  <si>
    <t>3010-002-000</t>
  </si>
  <si>
    <t>Capital variable</t>
  </si>
  <si>
    <t>3010-002-001</t>
  </si>
  <si>
    <t>3010-003-000</t>
  </si>
  <si>
    <t>Aportaciones futuros aumentos de capital</t>
  </si>
  <si>
    <t>3010-003-001</t>
  </si>
  <si>
    <t>3010-004-000</t>
  </si>
  <si>
    <t>Prima en suscripción de acciones</t>
  </si>
  <si>
    <t>3010-004-001</t>
  </si>
  <si>
    <t>3010-005-000</t>
  </si>
  <si>
    <t>Prima en suscripción de partes sociales</t>
  </si>
  <si>
    <t>3010-005-001</t>
  </si>
  <si>
    <t>302</t>
  </si>
  <si>
    <t>3020-000-000</t>
  </si>
  <si>
    <t>Patrimonio</t>
  </si>
  <si>
    <t>3020-001-000</t>
  </si>
  <si>
    <t>3020-001-001</t>
  </si>
  <si>
    <t>3020-002-000</t>
  </si>
  <si>
    <t>Aportación patrimonial</t>
  </si>
  <si>
    <t>3020-002-001</t>
  </si>
  <si>
    <t>3020-003-000</t>
  </si>
  <si>
    <t>Déficit o remanente del ejercicio</t>
  </si>
  <si>
    <t>3020-003-001</t>
  </si>
  <si>
    <t>303</t>
  </si>
  <si>
    <t>3030-000-000</t>
  </si>
  <si>
    <t>Reserva legal</t>
  </si>
  <si>
    <t>3030-001-000</t>
  </si>
  <si>
    <t>3030-001-001</t>
  </si>
  <si>
    <t>304</t>
  </si>
  <si>
    <t>3040-000-000</t>
  </si>
  <si>
    <t>Resultado de ejercicios anteriores</t>
  </si>
  <si>
    <t>3040-001-000</t>
  </si>
  <si>
    <t>Utilidad de ejercicios anteriores</t>
  </si>
  <si>
    <t>3040-001-001</t>
  </si>
  <si>
    <t>3040-002-000</t>
  </si>
  <si>
    <t>Pérdida de ejercicios anteriores</t>
  </si>
  <si>
    <t>3040-002-001</t>
  </si>
  <si>
    <t>3040-003-000</t>
  </si>
  <si>
    <t>Resultado integral de ejercicios anteriores</t>
  </si>
  <si>
    <t>3040-003-001</t>
  </si>
  <si>
    <t>3040-004-000</t>
  </si>
  <si>
    <t>Déficit o remanente de ejercicio anteriores</t>
  </si>
  <si>
    <t>3040-004-001</t>
  </si>
  <si>
    <t>305</t>
  </si>
  <si>
    <t>3050-000-000</t>
  </si>
  <si>
    <t>Resultado del ejercicio</t>
  </si>
  <si>
    <t>3050-001-000</t>
  </si>
  <si>
    <t>Utilidad del ejercicio</t>
  </si>
  <si>
    <t>3050-001-001</t>
  </si>
  <si>
    <t>3050-002-000</t>
  </si>
  <si>
    <t>Pérdida del ejercicio</t>
  </si>
  <si>
    <t>3050-002-001</t>
  </si>
  <si>
    <t>3050-003-000</t>
  </si>
  <si>
    <t>Resultado integral</t>
  </si>
  <si>
    <t>3050-003-001</t>
  </si>
  <si>
    <t>306</t>
  </si>
  <si>
    <t>3060-000-000</t>
  </si>
  <si>
    <t>Otras cuentas de capital</t>
  </si>
  <si>
    <t>3060-001-000</t>
  </si>
  <si>
    <t>3060-001-001</t>
  </si>
  <si>
    <t>401</t>
  </si>
  <si>
    <t>4000-000-000</t>
  </si>
  <si>
    <t>Ingresos</t>
  </si>
  <si>
    <t>S</t>
  </si>
  <si>
    <t>4100-000-000</t>
  </si>
  <si>
    <t>Ventas nacionales</t>
  </si>
  <si>
    <t>4100-001-000</t>
  </si>
  <si>
    <t>Ventas grav tasa general de IVA</t>
  </si>
  <si>
    <t>4100-002-000</t>
  </si>
  <si>
    <t>Ventas grav tasa general de IVA de contado</t>
  </si>
  <si>
    <t>4100-003-000</t>
  </si>
  <si>
    <t>Ventas grav tasa general de IVA a crédito</t>
  </si>
  <si>
    <t>4100-004-000</t>
  </si>
  <si>
    <t>Ventas grav tasa general PRN</t>
  </si>
  <si>
    <t>4100-005-000</t>
  </si>
  <si>
    <t>Ventas grav a la tasa general PRE</t>
  </si>
  <si>
    <t>4100-006-000</t>
  </si>
  <si>
    <t>Ventas gravados al 0%</t>
  </si>
  <si>
    <t>4100-007-000</t>
  </si>
  <si>
    <t>Ventas gravados al 0% de contado</t>
  </si>
  <si>
    <t>4100-008-000</t>
  </si>
  <si>
    <t>Ventas gravados al 0% a crédito</t>
  </si>
  <si>
    <t>4100-009-000</t>
  </si>
  <si>
    <t>Ventas gravados al 0% PRN</t>
  </si>
  <si>
    <t>4100-010-000</t>
  </si>
  <si>
    <t>Ventas gravados al 0% PRE</t>
  </si>
  <si>
    <t>4100-011-000</t>
  </si>
  <si>
    <t>Ventas exentos de IVA</t>
  </si>
  <si>
    <t>4100-012-000</t>
  </si>
  <si>
    <t>Ventas exentos de contado</t>
  </si>
  <si>
    <t>4100-013-000</t>
  </si>
  <si>
    <t>Ventas exentos a crédito</t>
  </si>
  <si>
    <t>4100-014-000</t>
  </si>
  <si>
    <t>Ventas exentos PRN</t>
  </si>
  <si>
    <t>4100-015-000</t>
  </si>
  <si>
    <t>Ventas exentos PRE</t>
  </si>
  <si>
    <t>4200-000-000</t>
  </si>
  <si>
    <t>Ventas y servicios EXP</t>
  </si>
  <si>
    <t>4200-001-000</t>
  </si>
  <si>
    <t>Ventas gravados al 0% EXP</t>
  </si>
  <si>
    <t>4200-002-000</t>
  </si>
  <si>
    <t>Ventas grav 0% EXP PR</t>
  </si>
  <si>
    <t>4200-003-000</t>
  </si>
  <si>
    <t>Ventas gravados 0% EXP PRE</t>
  </si>
  <si>
    <t>4200-004-000</t>
  </si>
  <si>
    <t>Venta intangibles y servicios al EXT</t>
  </si>
  <si>
    <t>4200-005-000</t>
  </si>
  <si>
    <t>Venta intangibles y servicios PRE</t>
  </si>
  <si>
    <t>4200-006-000</t>
  </si>
  <si>
    <t>Venta intangibles y servicios al EXT PRE</t>
  </si>
  <si>
    <t>4300-000-000</t>
  </si>
  <si>
    <t>Ing x servicios nacionales</t>
  </si>
  <si>
    <t>4300-001-000</t>
  </si>
  <si>
    <t>Servicios gravados a la tasa general</t>
  </si>
  <si>
    <t>4300-002-000</t>
  </si>
  <si>
    <t>Servicios grav tasa general de contado</t>
  </si>
  <si>
    <t>4300-003-000</t>
  </si>
  <si>
    <t>Servicios grav tasa general a crédito</t>
  </si>
  <si>
    <t>4300-004-000</t>
  </si>
  <si>
    <t>Servicios grav tasa general PRN</t>
  </si>
  <si>
    <t>4300-005-000</t>
  </si>
  <si>
    <t>Servicios grav tasa general PRE</t>
  </si>
  <si>
    <t>4300-006-000</t>
  </si>
  <si>
    <t>Servicios gravados 0%</t>
  </si>
  <si>
    <t>4300-007-000</t>
  </si>
  <si>
    <t>Servicios gravados 0% de contado</t>
  </si>
  <si>
    <t>4300-008-000</t>
  </si>
  <si>
    <t>Servicios gravados 0% a crédito</t>
  </si>
  <si>
    <t>4300-009-000</t>
  </si>
  <si>
    <t>Servicios gravados 0% PRN</t>
  </si>
  <si>
    <t>4300-010-000</t>
  </si>
  <si>
    <t>Servicios gravados 0% PRE</t>
  </si>
  <si>
    <t>4300-011-000</t>
  </si>
  <si>
    <t>Servicios exentos</t>
  </si>
  <si>
    <t>4300-012-000</t>
  </si>
  <si>
    <t>Servicios exentos de contado</t>
  </si>
  <si>
    <t>4300-013-000</t>
  </si>
  <si>
    <t>Servicios exentos a crédito</t>
  </si>
  <si>
    <t>4300-014-000</t>
  </si>
  <si>
    <t>Servicios exentos PRN</t>
  </si>
  <si>
    <t>4300-015-000</t>
  </si>
  <si>
    <t>Servicios exentos PRE</t>
  </si>
  <si>
    <t>4300-016-000</t>
  </si>
  <si>
    <t>Ing x servicios admtivos</t>
  </si>
  <si>
    <t>4300-017-000</t>
  </si>
  <si>
    <t>Ing x servicios admtivos PRN</t>
  </si>
  <si>
    <t>4300-018-000</t>
  </si>
  <si>
    <t>Ing x servicios admtivos PRE</t>
  </si>
  <si>
    <t>4300-019-000</t>
  </si>
  <si>
    <t>Ing x servicios profesionales</t>
  </si>
  <si>
    <t>4300-020-000</t>
  </si>
  <si>
    <t>Ing x servicios profesionales PRN</t>
  </si>
  <si>
    <t>4300-021-000</t>
  </si>
  <si>
    <t>Ing x servicios profesionales PRE</t>
  </si>
  <si>
    <t>4400-000-000</t>
  </si>
  <si>
    <t>Ing x arrendamiento</t>
  </si>
  <si>
    <t>4400-001-000</t>
  </si>
  <si>
    <t>Ing x arrend</t>
  </si>
  <si>
    <t>4400-002-000</t>
  </si>
  <si>
    <t>Ing x arrend PRN</t>
  </si>
  <si>
    <t>4400-003-000</t>
  </si>
  <si>
    <t>Ing x arrend PRE</t>
  </si>
  <si>
    <t>4400-004-000</t>
  </si>
  <si>
    <t>Ing x arrend casa habitación</t>
  </si>
  <si>
    <t>4400-005-000</t>
  </si>
  <si>
    <t>Ing x arrend casa habitación PRN</t>
  </si>
  <si>
    <t>4400-006-000</t>
  </si>
  <si>
    <t>Ing x arrend casa habitación PRE</t>
  </si>
  <si>
    <t>4500-000-000</t>
  </si>
  <si>
    <t>Ing propios</t>
  </si>
  <si>
    <t>4500-001-000</t>
  </si>
  <si>
    <t>Ing x comisiones</t>
  </si>
  <si>
    <t>4500-002-000</t>
  </si>
  <si>
    <t>Ing x comisiones PRN</t>
  </si>
  <si>
    <t>4500-003-000</t>
  </si>
  <si>
    <t>Ing x comisiones PRE</t>
  </si>
  <si>
    <t>4500-004-000</t>
  </si>
  <si>
    <t>Ing x maquila</t>
  </si>
  <si>
    <t>4500-005-000</t>
  </si>
  <si>
    <t>Ing x maquila PRN</t>
  </si>
  <si>
    <t>4500-006-000</t>
  </si>
  <si>
    <t>Ing x maquila PRE</t>
  </si>
  <si>
    <t>4500-007-000</t>
  </si>
  <si>
    <t>Ing x coordinados</t>
  </si>
  <si>
    <t>4500-008-000</t>
  </si>
  <si>
    <t>Ing x regalías</t>
  </si>
  <si>
    <t>4500-009-000</t>
  </si>
  <si>
    <t>Ing x regalías PRN</t>
  </si>
  <si>
    <t>4500-010-000</t>
  </si>
  <si>
    <t>Ing x regalías PRE</t>
  </si>
  <si>
    <t>4500-011-000</t>
  </si>
  <si>
    <t>Ing x asistencia técnica</t>
  </si>
  <si>
    <t>4500-012-000</t>
  </si>
  <si>
    <t>Ing x asistencia técnica PRN</t>
  </si>
  <si>
    <t>4500-013-000</t>
  </si>
  <si>
    <t>Ing x asistencia técnica PRE</t>
  </si>
  <si>
    <t>4500-014-000</t>
  </si>
  <si>
    <t>Ing x donativos</t>
  </si>
  <si>
    <t>4500-015-000</t>
  </si>
  <si>
    <t>Ing x donativos PRN</t>
  </si>
  <si>
    <t>4500-016-000</t>
  </si>
  <si>
    <t>Ing x donativos PRE</t>
  </si>
  <si>
    <t>4500-017-000</t>
  </si>
  <si>
    <t>Ing x intereses (activ propia)</t>
  </si>
  <si>
    <t>4500-018-000</t>
  </si>
  <si>
    <t>Ing x intereses (activ propia) exentos IVA</t>
  </si>
  <si>
    <t>4500-019-000</t>
  </si>
  <si>
    <t>Ing de copropiedad</t>
  </si>
  <si>
    <t>4500-020-000</t>
  </si>
  <si>
    <t>Ing x fideicomisos</t>
  </si>
  <si>
    <t>4500-021-000</t>
  </si>
  <si>
    <t>Ing x factoraje financiero</t>
  </si>
  <si>
    <t>4500-022-000</t>
  </si>
  <si>
    <t>Ing x arrend financiero</t>
  </si>
  <si>
    <t>4500-023-000</t>
  </si>
  <si>
    <t>Ing EXT con establecimiento en el país</t>
  </si>
  <si>
    <t>4500-024-000</t>
  </si>
  <si>
    <t>Otros ing propios</t>
  </si>
  <si>
    <t>402</t>
  </si>
  <si>
    <t>4600-000-000</t>
  </si>
  <si>
    <t>Dev, dctos o bonif sobre ingresos</t>
  </si>
  <si>
    <t>4600-001-000</t>
  </si>
  <si>
    <t>Dev, dctos sobre ventas servicios tasa gral</t>
  </si>
  <si>
    <t>4600-002-000</t>
  </si>
  <si>
    <t>Dev, dctos sobre ventas, servicios al 0%</t>
  </si>
  <si>
    <t>4600-003-000</t>
  </si>
  <si>
    <t>Dev, dctos sobre ventas, servicios exentos</t>
  </si>
  <si>
    <t>4600-004-000</t>
  </si>
  <si>
    <t>Dev, dctos otros ing</t>
  </si>
  <si>
    <t>403</t>
  </si>
  <si>
    <t>4700-000-000</t>
  </si>
  <si>
    <t>Otros ing</t>
  </si>
  <si>
    <t>4700-001-000</t>
  </si>
  <si>
    <t>Otros Ing</t>
  </si>
  <si>
    <t>4700-002-000</t>
  </si>
  <si>
    <t>Otros ing nacionales PR</t>
  </si>
  <si>
    <t>4700-003-000</t>
  </si>
  <si>
    <t>Otros ing extranjeros PR</t>
  </si>
  <si>
    <t>4700-004-000</t>
  </si>
  <si>
    <t>Ing x operaciones discontinuas</t>
  </si>
  <si>
    <t>4700-005-000</t>
  </si>
  <si>
    <t>Ing x condonación de adeudo</t>
  </si>
  <si>
    <t>501</t>
  </si>
  <si>
    <t>5010-000-000</t>
  </si>
  <si>
    <t>Costo de venta y/o servicio</t>
  </si>
  <si>
    <t>5010-001-000</t>
  </si>
  <si>
    <t>Costo de venta (Almacén, productos)</t>
  </si>
  <si>
    <t>5010-002-000</t>
  </si>
  <si>
    <t>Costo de servicios (Almacén, productos)</t>
  </si>
  <si>
    <t>5010-003-000</t>
  </si>
  <si>
    <t>Materia prima directa producción (Almacén)</t>
  </si>
  <si>
    <t>5010-004-000</t>
  </si>
  <si>
    <t>Materia prima consumida proceso produc</t>
  </si>
  <si>
    <t>5010-005-000</t>
  </si>
  <si>
    <t>Gastos indirectos de fabricación</t>
  </si>
  <si>
    <t>5010-006-000</t>
  </si>
  <si>
    <t>Gastos indirectos de fabricación de PRN</t>
  </si>
  <si>
    <t>5010-007-000</t>
  </si>
  <si>
    <t>Gastos indirectos de fabricación PRE</t>
  </si>
  <si>
    <t>502</t>
  </si>
  <si>
    <t>5020-000-000</t>
  </si>
  <si>
    <t>Compras</t>
  </si>
  <si>
    <t>5020-001-000</t>
  </si>
  <si>
    <t>Compras nacionales</t>
  </si>
  <si>
    <t>5020-002-000</t>
  </si>
  <si>
    <t>Compras PRN</t>
  </si>
  <si>
    <t>5020-003-000</t>
  </si>
  <si>
    <t>Compras de Importación</t>
  </si>
  <si>
    <t>5020-004-000</t>
  </si>
  <si>
    <t>Compras de Importación PRE</t>
  </si>
  <si>
    <t>503</t>
  </si>
  <si>
    <t>5030-000-000</t>
  </si>
  <si>
    <t>Dev, dctos o bonif sobre compras</t>
  </si>
  <si>
    <t>5030-001-000</t>
  </si>
  <si>
    <t>Dev, dctos sobre compras nacionales</t>
  </si>
  <si>
    <t>5030-002-000</t>
  </si>
  <si>
    <t>Dev, dctos sobre compras PRN</t>
  </si>
  <si>
    <t>5030-003-000</t>
  </si>
  <si>
    <t>Dev, dctos sobre compras de importación</t>
  </si>
  <si>
    <t>5030-004-000</t>
  </si>
  <si>
    <t>Dev, dctos sobre compras PRE</t>
  </si>
  <si>
    <t>5500-000-000</t>
  </si>
  <si>
    <t>Gastos de fabricación</t>
  </si>
  <si>
    <t>5500-101-000</t>
  </si>
  <si>
    <t>Sueldos y salarios</t>
  </si>
  <si>
    <t>5500-102-000</t>
  </si>
  <si>
    <t>Compensaciones y comisiones</t>
  </si>
  <si>
    <t>5500-103-000</t>
  </si>
  <si>
    <t>Tiempos extras</t>
  </si>
  <si>
    <t>5500-104-000</t>
  </si>
  <si>
    <t>Premios de asistencia</t>
  </si>
  <si>
    <t>5500-105-000</t>
  </si>
  <si>
    <t>Premios de puntualidad</t>
  </si>
  <si>
    <t>5500-106-000</t>
  </si>
  <si>
    <t>Vacaciones</t>
  </si>
  <si>
    <t>5500-107-000</t>
  </si>
  <si>
    <t>Prima vacacional</t>
  </si>
  <si>
    <t>5500-108-000</t>
  </si>
  <si>
    <t>Prima dominical</t>
  </si>
  <si>
    <t>5500-109-000</t>
  </si>
  <si>
    <t>Días festivos</t>
  </si>
  <si>
    <t>5500-110-000</t>
  </si>
  <si>
    <t>Gratificaciones, bonos de productividad</t>
  </si>
  <si>
    <t>5500-111-000</t>
  </si>
  <si>
    <t>Primas de antigüedad</t>
  </si>
  <si>
    <t>5500-112-000</t>
  </si>
  <si>
    <t>Aguinaldo</t>
  </si>
  <si>
    <t>5500-113-000</t>
  </si>
  <si>
    <t>Indemnizaciones</t>
  </si>
  <si>
    <t>5500-114-000</t>
  </si>
  <si>
    <t>Destajo, (Pago x lo producido)</t>
  </si>
  <si>
    <t>5500-115-000</t>
  </si>
  <si>
    <t>Despensa vales en monedero</t>
  </si>
  <si>
    <t>5500-116-000</t>
  </si>
  <si>
    <t>Ayuda de Transporte</t>
  </si>
  <si>
    <t>5500-117-000</t>
  </si>
  <si>
    <t>Servicio médico, botiquín, medicinas</t>
  </si>
  <si>
    <t>5500-118-000</t>
  </si>
  <si>
    <t>Ayuda en gastos funerarios</t>
  </si>
  <si>
    <t>5500-119-000</t>
  </si>
  <si>
    <t>Fondo de ahorro, aportación patronal</t>
  </si>
  <si>
    <t>5500-120-000</t>
  </si>
  <si>
    <t>Ayuda patronal a sindicato</t>
  </si>
  <si>
    <t>ND</t>
  </si>
  <si>
    <t>5500-121-000</t>
  </si>
  <si>
    <t xml:space="preserve">PTU </t>
  </si>
  <si>
    <t>5500-122-000</t>
  </si>
  <si>
    <t>Estímulo al personal</t>
  </si>
  <si>
    <t>5500-123-000</t>
  </si>
  <si>
    <t>Previsión social</t>
  </si>
  <si>
    <t>5500-124-000</t>
  </si>
  <si>
    <t>Aportaciones para el plan de jubilación</t>
  </si>
  <si>
    <t>5500-125-000</t>
  </si>
  <si>
    <t>Otras prestaciones al personal</t>
  </si>
  <si>
    <t>5500-126-000</t>
  </si>
  <si>
    <t>Cuotas patronales al IMSS</t>
  </si>
  <si>
    <t>5500-127-000</t>
  </si>
  <si>
    <t>Aportaciones patronales al Infonavit</t>
  </si>
  <si>
    <t>5500-128-000</t>
  </si>
  <si>
    <t>Aportaciones al SAR</t>
  </si>
  <si>
    <t>5500-129-000</t>
  </si>
  <si>
    <t>Impuesto estatal sobre nóminas</t>
  </si>
  <si>
    <t>5500-130-000</t>
  </si>
  <si>
    <t>Otras aportaciones de seguridad social</t>
  </si>
  <si>
    <t>5500-201-000</t>
  </si>
  <si>
    <t>Asimilados becarios y varios</t>
  </si>
  <si>
    <t>5500-202-000</t>
  </si>
  <si>
    <t>Asimilados honorarios</t>
  </si>
  <si>
    <t>5500-203-000</t>
  </si>
  <si>
    <t>Asimilados comisionistas</t>
  </si>
  <si>
    <t>5500-204-000</t>
  </si>
  <si>
    <t>Asimilados remanente distribuible</t>
  </si>
  <si>
    <t>5500-205-000</t>
  </si>
  <si>
    <t>Serv admtivos, outsourcing</t>
  </si>
  <si>
    <t>5500-206-000</t>
  </si>
  <si>
    <t>Serv admtivos PR, outsourcing propio</t>
  </si>
  <si>
    <t>5500-207-000</t>
  </si>
  <si>
    <t>Honorarios a PF residentes nacionales</t>
  </si>
  <si>
    <t>5500-208-000</t>
  </si>
  <si>
    <t>Subcontratación con PF NAL</t>
  </si>
  <si>
    <t>5500-209-000</t>
  </si>
  <si>
    <t>Honorarios a PF residentes PRN</t>
  </si>
  <si>
    <t>5500-210-000</t>
  </si>
  <si>
    <t>Subcontratación PF PRN</t>
  </si>
  <si>
    <t>5500-211-000</t>
  </si>
  <si>
    <t>Honorarios a PF EXT</t>
  </si>
  <si>
    <t>5500-212-000</t>
  </si>
  <si>
    <t>Subcontratación con PF extranjeras</t>
  </si>
  <si>
    <t>5500-213-000</t>
  </si>
  <si>
    <t>Honorarios PF PRE</t>
  </si>
  <si>
    <t>5500-214-000</t>
  </si>
  <si>
    <t>Subcontratación con PF PRE</t>
  </si>
  <si>
    <t>5500-215-000</t>
  </si>
  <si>
    <t>Honorarios a PM nacionales</t>
  </si>
  <si>
    <t>5500-216-000</t>
  </si>
  <si>
    <t xml:space="preserve">Subcontratación con PM </t>
  </si>
  <si>
    <t>5500-217-000</t>
  </si>
  <si>
    <t>Honorarios a PM PRN</t>
  </si>
  <si>
    <t>5500-218-000</t>
  </si>
  <si>
    <t>Subcontratación PM PR</t>
  </si>
  <si>
    <t>5500-219-000</t>
  </si>
  <si>
    <t>Honorarios a PM EXT</t>
  </si>
  <si>
    <t>5500-220-000</t>
  </si>
  <si>
    <t>Subcontratación con PM EXT</t>
  </si>
  <si>
    <t>5500-221-000</t>
  </si>
  <si>
    <t>Honorarios a PM PRE</t>
  </si>
  <si>
    <t>5500-222-000</t>
  </si>
  <si>
    <t>Subcontratación con PM PRE</t>
  </si>
  <si>
    <t>5500-223-000</t>
  </si>
  <si>
    <t>Honorarios aduanales PF</t>
  </si>
  <si>
    <t>5500-224-000</t>
  </si>
  <si>
    <t>Honorarios aduanales PM</t>
  </si>
  <si>
    <t>5500-225-000</t>
  </si>
  <si>
    <t>Honorarios consejo de administración</t>
  </si>
  <si>
    <t>5500-226-000</t>
  </si>
  <si>
    <t>Vigilancia y seguridad outsourcing</t>
  </si>
  <si>
    <t>5500-227-000</t>
  </si>
  <si>
    <t>Limpieza Serv outsourcing</t>
  </si>
  <si>
    <t>5500-228-000</t>
  </si>
  <si>
    <t>Comisiones sobre ventas comisionistas</t>
  </si>
  <si>
    <t>5500-229-000</t>
  </si>
  <si>
    <t>Recolecc bienes sector agrop, ganadero</t>
  </si>
  <si>
    <t>5500-301-000</t>
  </si>
  <si>
    <t>Arrend inmuebles a PF NAL</t>
  </si>
  <si>
    <t>5500-302-000</t>
  </si>
  <si>
    <t>Arrend de inmuebles a PM nacional</t>
  </si>
  <si>
    <t>5500-303-000</t>
  </si>
  <si>
    <t>Arrend de inmuebles a extranjeros</t>
  </si>
  <si>
    <t>5500-304-000</t>
  </si>
  <si>
    <t>Arrend equipo transporte carga a PF NAL</t>
  </si>
  <si>
    <t>5500-305-000</t>
  </si>
  <si>
    <t>Arrend equipo transporte carga a PM NAL</t>
  </si>
  <si>
    <t>5500-306-000</t>
  </si>
  <si>
    <t>Arrend equipo transporte carga a EXT</t>
  </si>
  <si>
    <t>5500-307-000</t>
  </si>
  <si>
    <t>Arrend de maquinaria, equipo a PF NAL</t>
  </si>
  <si>
    <t>5500-308-000</t>
  </si>
  <si>
    <t>Arrend de maquinaria, equipo a PM NAL</t>
  </si>
  <si>
    <t>5500-309-000</t>
  </si>
  <si>
    <t>Arrend de maquinaria, equipo a EXT</t>
  </si>
  <si>
    <t>5500-310-000</t>
  </si>
  <si>
    <t>Arrend automóviles deducible a PF NAL</t>
  </si>
  <si>
    <t>5500-311-000</t>
  </si>
  <si>
    <t>Arrend automóviles deducible a PM NAL</t>
  </si>
  <si>
    <t>5500-312-000</t>
  </si>
  <si>
    <t>Arrend automóviles deducible a EXT</t>
  </si>
  <si>
    <t>5500-313-000</t>
  </si>
  <si>
    <t>Arrend automóviles ND a PF NAL</t>
  </si>
  <si>
    <t>5500-314-000</t>
  </si>
  <si>
    <t>Arrend automóviles ND a PM NAL</t>
  </si>
  <si>
    <t>5500-315-000</t>
  </si>
  <si>
    <t>Arrend automóviles ND a EXT</t>
  </si>
  <si>
    <t>5500-316-000</t>
  </si>
  <si>
    <t>Mtto y conserv edificios</t>
  </si>
  <si>
    <t>5500-317-000</t>
  </si>
  <si>
    <t>Mtto y conserv equipo transporte</t>
  </si>
  <si>
    <t>5500-318-000</t>
  </si>
  <si>
    <t>Mtto y conserv equipo de transporte ND</t>
  </si>
  <si>
    <t>5500-319-000</t>
  </si>
  <si>
    <t>Mtto y conserv otros activos fijos</t>
  </si>
  <si>
    <t>5500-320-000</t>
  </si>
  <si>
    <t>Mtto y conserv de locales arrendados</t>
  </si>
  <si>
    <t>5500-321-000</t>
  </si>
  <si>
    <t>Mtto y conserv oficinas e instalaciones</t>
  </si>
  <si>
    <t>5500-401-000</t>
  </si>
  <si>
    <t>Depn de edificios</t>
  </si>
  <si>
    <t>5500-402-000</t>
  </si>
  <si>
    <t>Depn de maquinaria y equipo</t>
  </si>
  <si>
    <t>5500-403-000</t>
  </si>
  <si>
    <t>Depn de eq transporte</t>
  </si>
  <si>
    <t>5500-404-000</t>
  </si>
  <si>
    <t>Depn mobiliario y equipo de oficina</t>
  </si>
  <si>
    <t>5500-405-000</t>
  </si>
  <si>
    <t>Depn de equipo de cómputo</t>
  </si>
  <si>
    <t>5500-406-000</t>
  </si>
  <si>
    <t>Depn de equipo de comunicación</t>
  </si>
  <si>
    <t>5500-407-000</t>
  </si>
  <si>
    <t>Depn activos biológicos, vegetales</t>
  </si>
  <si>
    <t>5500-408-000</t>
  </si>
  <si>
    <t>Depn de otros activos fijos</t>
  </si>
  <si>
    <t>5500-409-000</t>
  </si>
  <si>
    <t>Depn de ferrocarriles</t>
  </si>
  <si>
    <t>5500-410-000</t>
  </si>
  <si>
    <t>Depn de embarcaciones</t>
  </si>
  <si>
    <t>5500-411-000</t>
  </si>
  <si>
    <t>Depn de aviones</t>
  </si>
  <si>
    <t>5500-412-000</t>
  </si>
  <si>
    <t>Depn troqueles y herramental</t>
  </si>
  <si>
    <t>5500-413-000</t>
  </si>
  <si>
    <t>Depn equipo de comunic telefónicas</t>
  </si>
  <si>
    <t>5500-414-000</t>
  </si>
  <si>
    <t>Depn equipo de comunicación satelital</t>
  </si>
  <si>
    <t>5500-415-000</t>
  </si>
  <si>
    <t>Depn adaptaciones discapacitados</t>
  </si>
  <si>
    <t>5500-416-000</t>
  </si>
  <si>
    <t>Depn maq generación energía renov</t>
  </si>
  <si>
    <t>5500-417-000</t>
  </si>
  <si>
    <t>Depn de adaptaciones y mejoras</t>
  </si>
  <si>
    <t>5500-418-000</t>
  </si>
  <si>
    <t>Depn de otra maquinaria y equipo</t>
  </si>
  <si>
    <t>5500-419-000</t>
  </si>
  <si>
    <t>Perd x deterioro de activos fijos</t>
  </si>
  <si>
    <t>5500-501-000</t>
  </si>
  <si>
    <t>5500-502-000</t>
  </si>
  <si>
    <t>5500-503-000</t>
  </si>
  <si>
    <t>5500-504-000</t>
  </si>
  <si>
    <t>5500-505-000</t>
  </si>
  <si>
    <t>5500-506-000</t>
  </si>
  <si>
    <t>Amort inv y desarrollo de mercado</t>
  </si>
  <si>
    <t>5500-507-000</t>
  </si>
  <si>
    <t>5500-508-000</t>
  </si>
  <si>
    <t>5500-509-000</t>
  </si>
  <si>
    <t>Amort gastos de instalación y mejoras</t>
  </si>
  <si>
    <t>5500-510-000</t>
  </si>
  <si>
    <t>5500-511-000</t>
  </si>
  <si>
    <t>Perd x deterioro cargos diferidos</t>
  </si>
  <si>
    <t>5500-601-000</t>
  </si>
  <si>
    <t>Papelería, art oficina, fotocopiado</t>
  </si>
  <si>
    <t>5500-602-000</t>
  </si>
  <si>
    <t>Envolturas, bolsas y empaques</t>
  </si>
  <si>
    <t>5500-603-000</t>
  </si>
  <si>
    <t>Combustibles y lubricantes deducible</t>
  </si>
  <si>
    <t>5500-604-000</t>
  </si>
  <si>
    <t>Combustibles y lubricantes ND</t>
  </si>
  <si>
    <t>5500-605-000</t>
  </si>
  <si>
    <t>Materias primas de producción</t>
  </si>
  <si>
    <t>5500-606-000</t>
  </si>
  <si>
    <t>Materiales auxiliares de producción</t>
  </si>
  <si>
    <t>5500-607-000</t>
  </si>
  <si>
    <t>Materiales varios no pasan x almacén</t>
  </si>
  <si>
    <t>5500-608-000</t>
  </si>
  <si>
    <t>Mercancia deteriorada donada o destruida</t>
  </si>
  <si>
    <t>5500-701-000</t>
  </si>
  <si>
    <t>Gastos de viaje deducibles</t>
  </si>
  <si>
    <t>5500-702-000</t>
  </si>
  <si>
    <t>Gastos de viaje ND</t>
  </si>
  <si>
    <t>5500-703-000</t>
  </si>
  <si>
    <t>Viáticos deducibles</t>
  </si>
  <si>
    <t>5500-704-000</t>
  </si>
  <si>
    <t>Viáticos ND</t>
  </si>
  <si>
    <t>5500-705-000</t>
  </si>
  <si>
    <t>Peajes autopistas</t>
  </si>
  <si>
    <t>5500-706-000</t>
  </si>
  <si>
    <t>Consumos en restaurantes deducibles</t>
  </si>
  <si>
    <t>5500-707-000</t>
  </si>
  <si>
    <t>Consumos en restaurantes ND</t>
  </si>
  <si>
    <t>5500-708-000</t>
  </si>
  <si>
    <t>Capacitación al personal</t>
  </si>
  <si>
    <t>5500-709-000</t>
  </si>
  <si>
    <t>Uniformes y equipo de seguridad</t>
  </si>
  <si>
    <t>5500-710-000</t>
  </si>
  <si>
    <t>Teléfono, internet</t>
  </si>
  <si>
    <t>5500-711-000</t>
  </si>
  <si>
    <t>Telefonía celular móvil</t>
  </si>
  <si>
    <t>5500-712-000</t>
  </si>
  <si>
    <t>Agua, pago Derechos</t>
  </si>
  <si>
    <t>5500-713-000</t>
  </si>
  <si>
    <t>Energía eléctrica</t>
  </si>
  <si>
    <t>5500-714-000</t>
  </si>
  <si>
    <t>Vigilancia y seguridad</t>
  </si>
  <si>
    <t>5500-715-000</t>
  </si>
  <si>
    <t xml:space="preserve">Limpieza </t>
  </si>
  <si>
    <t>5500-716-000</t>
  </si>
  <si>
    <t>Seguros y fianzas deducibles</t>
  </si>
  <si>
    <t>5500-717-000</t>
  </si>
  <si>
    <t>Seguros y fianzas ND</t>
  </si>
  <si>
    <t>5500-718-000</t>
  </si>
  <si>
    <t>Otros imptos y derechos</t>
  </si>
  <si>
    <t>5500-719-000</t>
  </si>
  <si>
    <t>Recargos fiscales</t>
  </si>
  <si>
    <t>5500-720-000</t>
  </si>
  <si>
    <t>Multas y penas convencionales</t>
  </si>
  <si>
    <t>5500-721-000</t>
  </si>
  <si>
    <t>Actualización de contribuciones a cargo</t>
  </si>
  <si>
    <t>5500-722-000</t>
  </si>
  <si>
    <t>Cuotas y suscripciones</t>
  </si>
  <si>
    <t>5500-723-000</t>
  </si>
  <si>
    <t>Propaganda y publicidad</t>
  </si>
  <si>
    <t>5500-724-000</t>
  </si>
  <si>
    <t>Donativos y ayudas deducibles</t>
  </si>
  <si>
    <t>5500-725-000</t>
  </si>
  <si>
    <t>Donativos y ayudas ND</t>
  </si>
  <si>
    <t>5500-726-000</t>
  </si>
  <si>
    <t>Asistencia técnica</t>
  </si>
  <si>
    <t>5500-727-000</t>
  </si>
  <si>
    <t>Regalías sujetas a otros porcentajes</t>
  </si>
  <si>
    <t>5500-728-000</t>
  </si>
  <si>
    <t>Regalías sujetas al 5%</t>
  </si>
  <si>
    <t>5500-729-000</t>
  </si>
  <si>
    <t>Regalías sujetas al 10%</t>
  </si>
  <si>
    <t>5500-730-000</t>
  </si>
  <si>
    <t>Regalías sujetas al 15%</t>
  </si>
  <si>
    <t>5500-731-000</t>
  </si>
  <si>
    <t>Regalías sujetas al 25%</t>
  </si>
  <si>
    <t>5500-732-000</t>
  </si>
  <si>
    <t>Regalías sujetas al 30%</t>
  </si>
  <si>
    <t>5500-733-000</t>
  </si>
  <si>
    <t>Regalías sin retención</t>
  </si>
  <si>
    <t>5500-734-000</t>
  </si>
  <si>
    <t>Fletes y acarreos personas físicas</t>
  </si>
  <si>
    <t>5500-735-000</t>
  </si>
  <si>
    <t>Fletes y acarreos PM</t>
  </si>
  <si>
    <t>5500-736-000</t>
  </si>
  <si>
    <t>Gastos de importación</t>
  </si>
  <si>
    <t>5500-737-000</t>
  </si>
  <si>
    <t>Imptos de importación</t>
  </si>
  <si>
    <t>5500-738-000</t>
  </si>
  <si>
    <t>Imptos de EXP</t>
  </si>
  <si>
    <t>5500-739-000</t>
  </si>
  <si>
    <t>IVA e Imptos no recuperables deducibles</t>
  </si>
  <si>
    <t>5500-740-000</t>
  </si>
  <si>
    <t>IVA no acred ND</t>
  </si>
  <si>
    <t>5500-741-000</t>
  </si>
  <si>
    <t>Comisiones x tarjetas de crédito</t>
  </si>
  <si>
    <t>5500-742-000</t>
  </si>
  <si>
    <t>Comisiones bancarias</t>
  </si>
  <si>
    <t>5500-743-000</t>
  </si>
  <si>
    <t>Patentes y marcas</t>
  </si>
  <si>
    <t>5500-744-000</t>
  </si>
  <si>
    <t>Prediales</t>
  </si>
  <si>
    <t>5500-745-000</t>
  </si>
  <si>
    <t>Fletes del extranjero</t>
  </si>
  <si>
    <t>5500-746-000</t>
  </si>
  <si>
    <t>Gastos ND (sin requisitos fiscales)</t>
  </si>
  <si>
    <t>5500-747-000</t>
  </si>
  <si>
    <t>Gastos ND para CUFIN</t>
  </si>
  <si>
    <t>5500-748-000</t>
  </si>
  <si>
    <t>Ctas incobrables</t>
  </si>
  <si>
    <t>5500-749-000</t>
  </si>
  <si>
    <t>Otros gastos generales deducibles</t>
  </si>
  <si>
    <t>5500-750-000</t>
  </si>
  <si>
    <t>Facilidades administrativas fiscales</t>
  </si>
  <si>
    <t>6010-000-000</t>
  </si>
  <si>
    <t>Gastos Generales</t>
  </si>
  <si>
    <t>6010-101-000</t>
  </si>
  <si>
    <t>6010-102-000</t>
  </si>
  <si>
    <t>6010-103-000</t>
  </si>
  <si>
    <t>6010-104-000</t>
  </si>
  <si>
    <t>6010-105-000</t>
  </si>
  <si>
    <t>6010-106-000</t>
  </si>
  <si>
    <t>6010-107-000</t>
  </si>
  <si>
    <t>6010-108-000</t>
  </si>
  <si>
    <t>6010-109-000</t>
  </si>
  <si>
    <t>6010-110-000</t>
  </si>
  <si>
    <t>6010-111-000</t>
  </si>
  <si>
    <t>6010-112-000</t>
  </si>
  <si>
    <t>6010-113-000</t>
  </si>
  <si>
    <t>6010-114-000</t>
  </si>
  <si>
    <t>6010-115-000</t>
  </si>
  <si>
    <t>6010-116-000</t>
  </si>
  <si>
    <t>6010-117-000</t>
  </si>
  <si>
    <t>6010-118-000</t>
  </si>
  <si>
    <t>6010-119-000</t>
  </si>
  <si>
    <t>6010-120-000</t>
  </si>
  <si>
    <t>6010-121-000</t>
  </si>
  <si>
    <t>6010-122-000</t>
  </si>
  <si>
    <t>6010-123-000</t>
  </si>
  <si>
    <t>6010-124-000</t>
  </si>
  <si>
    <t>6010-125-000</t>
  </si>
  <si>
    <t>6010-126-000</t>
  </si>
  <si>
    <t>6010-127-000</t>
  </si>
  <si>
    <t>6010-128-000</t>
  </si>
  <si>
    <t>6010-129-000</t>
  </si>
  <si>
    <t>6010-130-000</t>
  </si>
  <si>
    <t>6010-201-000</t>
  </si>
  <si>
    <t>6010-202-000</t>
  </si>
  <si>
    <t>6010-203-000</t>
  </si>
  <si>
    <t>6010-204-000</t>
  </si>
  <si>
    <t>6010-205-000</t>
  </si>
  <si>
    <t>6010-206-000</t>
  </si>
  <si>
    <t>6010-207-000</t>
  </si>
  <si>
    <t>6010-208-000</t>
  </si>
  <si>
    <t>6010-209-000</t>
  </si>
  <si>
    <t>6010-210-000</t>
  </si>
  <si>
    <t>Subcontratación con PF PRN</t>
  </si>
  <si>
    <t>6010-211-000</t>
  </si>
  <si>
    <t>Honorarios a PF residentes del extranjero</t>
  </si>
  <si>
    <t>6010-212-000</t>
  </si>
  <si>
    <t>6010-213-000</t>
  </si>
  <si>
    <t>Honorarios a PF PRE</t>
  </si>
  <si>
    <t>6010-214-000</t>
  </si>
  <si>
    <t>6010-215-000</t>
  </si>
  <si>
    <t>Honorarios a PM NAL</t>
  </si>
  <si>
    <t>6010-216-000</t>
  </si>
  <si>
    <t>6010-217-000</t>
  </si>
  <si>
    <t>Honorarios a PM residentes PRN</t>
  </si>
  <si>
    <t>6010-218-000</t>
  </si>
  <si>
    <t>Subcontratación con PM PR</t>
  </si>
  <si>
    <t>6010-219-000</t>
  </si>
  <si>
    <t>6010-220-000</t>
  </si>
  <si>
    <t>6010-221-000</t>
  </si>
  <si>
    <t>6010-222-000</t>
  </si>
  <si>
    <t>6010-223-000</t>
  </si>
  <si>
    <t>6010-224-000</t>
  </si>
  <si>
    <t>6010-225-000</t>
  </si>
  <si>
    <t>Honorarios al consejo de administración</t>
  </si>
  <si>
    <t>6010-226-000</t>
  </si>
  <si>
    <t>Vigilancia y seguridad, Serv outsourcing</t>
  </si>
  <si>
    <t>6010-227-000</t>
  </si>
  <si>
    <t>6010-228-000</t>
  </si>
  <si>
    <t>Comisiones sobre ventas a comisionistas</t>
  </si>
  <si>
    <t>6010-229-000</t>
  </si>
  <si>
    <t>6010-301-000</t>
  </si>
  <si>
    <t>Arrend de inmuebles a PF NAL</t>
  </si>
  <si>
    <t>6010-302-000</t>
  </si>
  <si>
    <t>Arrend de inmuebles a PM NAL</t>
  </si>
  <si>
    <t>6010-303-000</t>
  </si>
  <si>
    <t>Arrend de inmuebles a EXT</t>
  </si>
  <si>
    <t>6010-304-000</t>
  </si>
  <si>
    <t>6010-305-000</t>
  </si>
  <si>
    <t>6010-306-000</t>
  </si>
  <si>
    <t>Arrend equipo transporte de carga a EXT</t>
  </si>
  <si>
    <t>6010-307-000</t>
  </si>
  <si>
    <t>Arrend de maquinaria, equipo PF NAL</t>
  </si>
  <si>
    <t>6010-308-000</t>
  </si>
  <si>
    <t>Arrend de maquinaria, equipo PM NAL</t>
  </si>
  <si>
    <t>6010-309-000</t>
  </si>
  <si>
    <t>6010-310-000</t>
  </si>
  <si>
    <t>6010-311-000</t>
  </si>
  <si>
    <t>6010-312-000</t>
  </si>
  <si>
    <t>6010-313-000</t>
  </si>
  <si>
    <t>6010-314-000</t>
  </si>
  <si>
    <t>6010-315-000</t>
  </si>
  <si>
    <t>Arrend de automóviles ND a EXT</t>
  </si>
  <si>
    <t>6010-316-000</t>
  </si>
  <si>
    <t>6010-317-000</t>
  </si>
  <si>
    <t>6010-318-000</t>
  </si>
  <si>
    <t>6010-319-000</t>
  </si>
  <si>
    <t>6010-320-000</t>
  </si>
  <si>
    <t>6010-321-000</t>
  </si>
  <si>
    <t>6010-401-000</t>
  </si>
  <si>
    <t>6010-402-000</t>
  </si>
  <si>
    <t>6010-403-000</t>
  </si>
  <si>
    <t>Depn equipo de transporte</t>
  </si>
  <si>
    <t>6010-404-000</t>
  </si>
  <si>
    <t>Depn de mobiliario y equipo de oficina</t>
  </si>
  <si>
    <t>6010-405-000</t>
  </si>
  <si>
    <t>6010-406-000</t>
  </si>
  <si>
    <t>6010-407-000</t>
  </si>
  <si>
    <t>Depn de activos biológicos, vegetales</t>
  </si>
  <si>
    <t>6010-408-000</t>
  </si>
  <si>
    <t>6010-409-000</t>
  </si>
  <si>
    <t>6010-410-000</t>
  </si>
  <si>
    <t>6010-411-000</t>
  </si>
  <si>
    <t>6010-412-000</t>
  </si>
  <si>
    <t>Depn de troqueles y herramental</t>
  </si>
  <si>
    <t>6010-413-000</t>
  </si>
  <si>
    <t>Depn equipo comunicaciones telefónicas</t>
  </si>
  <si>
    <t>6010-414-000</t>
  </si>
  <si>
    <t>Depn de equipo de comunicación satelital</t>
  </si>
  <si>
    <t>6010-415-000</t>
  </si>
  <si>
    <t>6010-416-000</t>
  </si>
  <si>
    <t>Depn de maquinaria energía renov</t>
  </si>
  <si>
    <t>6010-417-000</t>
  </si>
  <si>
    <t>6010-418-000</t>
  </si>
  <si>
    <t>6010-419-000</t>
  </si>
  <si>
    <t>6010-501-000</t>
  </si>
  <si>
    <t>6010-502-000</t>
  </si>
  <si>
    <t>6010-503-000</t>
  </si>
  <si>
    <t>Amort de regalías y otros gastos diferidos</t>
  </si>
  <si>
    <t>6010-504-000</t>
  </si>
  <si>
    <t>6010-505-000</t>
  </si>
  <si>
    <t>6010-506-000</t>
  </si>
  <si>
    <t>Amort de inv y desarrollo de mercado</t>
  </si>
  <si>
    <t>6010-507-000</t>
  </si>
  <si>
    <t>6010-508-000</t>
  </si>
  <si>
    <t>6010-509-000</t>
  </si>
  <si>
    <t>Amort gastos de inst y mejoras a locales</t>
  </si>
  <si>
    <t>6010-510-000</t>
  </si>
  <si>
    <t>6010-511-000</t>
  </si>
  <si>
    <t>Pérd x deterioro gastos y cargos diferidos</t>
  </si>
  <si>
    <t>6010-601-000</t>
  </si>
  <si>
    <t>Papelería, artículos oficina, fotocopiado</t>
  </si>
  <si>
    <t>6010-602-000</t>
  </si>
  <si>
    <t>6010-603-000</t>
  </si>
  <si>
    <t>6010-604-000</t>
  </si>
  <si>
    <t>6010-605-000</t>
  </si>
  <si>
    <t>6010-606-000</t>
  </si>
  <si>
    <t>6010-607-000</t>
  </si>
  <si>
    <t>6010-608-000</t>
  </si>
  <si>
    <t>6010-701-000</t>
  </si>
  <si>
    <t>6010-702-000</t>
  </si>
  <si>
    <t>6010-703-000</t>
  </si>
  <si>
    <t>6010-704-000</t>
  </si>
  <si>
    <t>6010-705-000</t>
  </si>
  <si>
    <t>6010-706-000</t>
  </si>
  <si>
    <t>6010-707-000</t>
  </si>
  <si>
    <t>6010-708-000</t>
  </si>
  <si>
    <t>6010-709-000</t>
  </si>
  <si>
    <t>6010-710-000</t>
  </si>
  <si>
    <t>6010-711-000</t>
  </si>
  <si>
    <t>6010-712-000</t>
  </si>
  <si>
    <t>6010-713-000</t>
  </si>
  <si>
    <t>6010-714-000</t>
  </si>
  <si>
    <t>6010-715-000</t>
  </si>
  <si>
    <t>6010-716-000</t>
  </si>
  <si>
    <t>6010-717-000</t>
  </si>
  <si>
    <t>6010-718-000</t>
  </si>
  <si>
    <t>6010-719-000</t>
  </si>
  <si>
    <t>6010-720-000</t>
  </si>
  <si>
    <t>6010-721-000</t>
  </si>
  <si>
    <t>Actualización contribuciones a cargo ND</t>
  </si>
  <si>
    <t>6010-722-000</t>
  </si>
  <si>
    <t>6010-723-000</t>
  </si>
  <si>
    <t>6010-724-000</t>
  </si>
  <si>
    <t>6010-725-000</t>
  </si>
  <si>
    <t>6010-726-000</t>
  </si>
  <si>
    <t>6010-727-000</t>
  </si>
  <si>
    <t>6010-728-000</t>
  </si>
  <si>
    <t>6010-729-000</t>
  </si>
  <si>
    <t>6010-730-000</t>
  </si>
  <si>
    <t>6010-731-000</t>
  </si>
  <si>
    <t>6010-732-000</t>
  </si>
  <si>
    <t>6010-733-000</t>
  </si>
  <si>
    <t>6010-734-000</t>
  </si>
  <si>
    <t>6010-735-000</t>
  </si>
  <si>
    <t>6010-736-000</t>
  </si>
  <si>
    <t>6010-737-000</t>
  </si>
  <si>
    <t>6010-738-000</t>
  </si>
  <si>
    <t>6010-739-000</t>
  </si>
  <si>
    <t>6010-740-000</t>
  </si>
  <si>
    <t>6010-741-000</t>
  </si>
  <si>
    <t>6010-742-000</t>
  </si>
  <si>
    <t>Comisiones y situaciones bancarias</t>
  </si>
  <si>
    <t>6010-743-000</t>
  </si>
  <si>
    <t>6010-744-000</t>
  </si>
  <si>
    <t>6010-745-000</t>
  </si>
  <si>
    <t>6010-746-000</t>
  </si>
  <si>
    <t>6010-747-000</t>
  </si>
  <si>
    <t>6010-748-000</t>
  </si>
  <si>
    <t>6010-749-000</t>
  </si>
  <si>
    <t>6010-750-000</t>
  </si>
  <si>
    <t>7100-000-000</t>
  </si>
  <si>
    <t>Gastos Financieros</t>
  </si>
  <si>
    <t>7100-001-000</t>
  </si>
  <si>
    <t>Perd cambiaria</t>
  </si>
  <si>
    <t>7100-002-000</t>
  </si>
  <si>
    <t>Perd cambiaria x realizar</t>
  </si>
  <si>
    <t>7100-003-000</t>
  </si>
  <si>
    <t>Perd cambiaria PRN</t>
  </si>
  <si>
    <t>7100-004-000</t>
  </si>
  <si>
    <t>Perd cambiaria PRN x realizar</t>
  </si>
  <si>
    <t>7100-005-000</t>
  </si>
  <si>
    <t>Perd cambiaria PRE</t>
  </si>
  <si>
    <t>7100-006-000</t>
  </si>
  <si>
    <t>Perd cambiaria PRE x realizar</t>
  </si>
  <si>
    <t>7100-007-000</t>
  </si>
  <si>
    <t>Intereses a cargo bancario NAL</t>
  </si>
  <si>
    <t>7100-008-000</t>
  </si>
  <si>
    <t>Intereses a cargo bancario EXT</t>
  </si>
  <si>
    <t>7100-009-000</t>
  </si>
  <si>
    <t>Intereses a cargo de PF NAL</t>
  </si>
  <si>
    <t>7100-010-000</t>
  </si>
  <si>
    <t>Intereses a cargo de PF EXT</t>
  </si>
  <si>
    <t>7100-011-000</t>
  </si>
  <si>
    <t>Intereses a cargo de PM nacional</t>
  </si>
  <si>
    <t>7100-012-000</t>
  </si>
  <si>
    <t>Intereses a cargo de PM extranjero</t>
  </si>
  <si>
    <t>7100-013-000</t>
  </si>
  <si>
    <t>Comisiones bancarias x financiamiento</t>
  </si>
  <si>
    <t>7100-014-000</t>
  </si>
  <si>
    <t>Otros gastos financieros</t>
  </si>
  <si>
    <t>7200-000-000</t>
  </si>
  <si>
    <t>Productos Financieros</t>
  </si>
  <si>
    <t>7200-001-000</t>
  </si>
  <si>
    <t>7200-002-000</t>
  </si>
  <si>
    <t>Utilidad cambiaria x realizar</t>
  </si>
  <si>
    <t>7200-003-000</t>
  </si>
  <si>
    <t>Utilidad cambiaria PRN</t>
  </si>
  <si>
    <t>7200-004-000</t>
  </si>
  <si>
    <t>Utilidad cambiaria PRN x realizar</t>
  </si>
  <si>
    <t>7200-005-000</t>
  </si>
  <si>
    <t>Utilidad cambiaria PRE</t>
  </si>
  <si>
    <t>7200-006-000</t>
  </si>
  <si>
    <t>Utilidad cambiaria PRE x realizar</t>
  </si>
  <si>
    <t>7200-007-000</t>
  </si>
  <si>
    <t>Intereses a favor bancarios NAL</t>
  </si>
  <si>
    <t>7200-008-000</t>
  </si>
  <si>
    <t>Intereses a favor bancarios EXT</t>
  </si>
  <si>
    <t>7200-009-000</t>
  </si>
  <si>
    <t>Intereses a favor de PF NAL</t>
  </si>
  <si>
    <t>7200-010-000</t>
  </si>
  <si>
    <t>Intereses a favor de PF EXT</t>
  </si>
  <si>
    <t>7200-011-000</t>
  </si>
  <si>
    <t>Intereses a favor de PM NAL</t>
  </si>
  <si>
    <t>7200-012-000</t>
  </si>
  <si>
    <t>Intereses a favor de PM EXT</t>
  </si>
  <si>
    <t>7200-013-000</t>
  </si>
  <si>
    <t>Otros productos financieros</t>
  </si>
  <si>
    <t>7300-000-000</t>
  </si>
  <si>
    <t>Otros Gastos</t>
  </si>
  <si>
    <t>7300-001-000</t>
  </si>
  <si>
    <t>Perd en venta de terrenos</t>
  </si>
  <si>
    <t>7300-002-000</t>
  </si>
  <si>
    <t>Perd en venta de edificios</t>
  </si>
  <si>
    <t>7300-003-000</t>
  </si>
  <si>
    <t>Perd en venta maquinaria y equipo</t>
  </si>
  <si>
    <t>7300-004-000</t>
  </si>
  <si>
    <t>Perd en venta equipo transporte</t>
  </si>
  <si>
    <t>7300-005-000</t>
  </si>
  <si>
    <t>Perd en venta mobiliario oficina</t>
  </si>
  <si>
    <t>7300-006-000</t>
  </si>
  <si>
    <t>Perd en venta equipo de cómputo</t>
  </si>
  <si>
    <t>7300-007-000</t>
  </si>
  <si>
    <t>Perd en venta equipo comunicación</t>
  </si>
  <si>
    <t>7300-008-000</t>
  </si>
  <si>
    <t>Perd en venta activos biológicos, veget</t>
  </si>
  <si>
    <t>7300-009-000</t>
  </si>
  <si>
    <t>Perd en venta de otros activos fijos</t>
  </si>
  <si>
    <t>7300-010-000</t>
  </si>
  <si>
    <t>Perd en venta de ferrocarriles</t>
  </si>
  <si>
    <t>7300-011-000</t>
  </si>
  <si>
    <t>Perd en venta de embarcaciones</t>
  </si>
  <si>
    <t>7300-012-000</t>
  </si>
  <si>
    <t>Perd en venta de aviones</t>
  </si>
  <si>
    <t>7300-013-000</t>
  </si>
  <si>
    <t>Perd en venta de troqueles y herramental</t>
  </si>
  <si>
    <t>7300-014-000</t>
  </si>
  <si>
    <t>Perd en venta equipo comunic telefónicas</t>
  </si>
  <si>
    <t>7300-015-000</t>
  </si>
  <si>
    <t>Perd en venta equipo comunic satelital</t>
  </si>
  <si>
    <t>7300-016-000</t>
  </si>
  <si>
    <t>Perd en venta adaptaciones discap</t>
  </si>
  <si>
    <t>7300-017-000</t>
  </si>
  <si>
    <t>Perd en venta equipo gener energía renov</t>
  </si>
  <si>
    <t>7300-018-000</t>
  </si>
  <si>
    <t>Perd en venta de otra maquinaria y equipo</t>
  </si>
  <si>
    <t>7300-019-000</t>
  </si>
  <si>
    <t>Perd x enajenación de acciones</t>
  </si>
  <si>
    <t>7300-020-000</t>
  </si>
  <si>
    <t>Perd x enajenación de partes sociales</t>
  </si>
  <si>
    <t>7300-021-000</t>
  </si>
  <si>
    <t>7300-022-000</t>
  </si>
  <si>
    <t>7300-023-000</t>
  </si>
  <si>
    <t>7300-024-000</t>
  </si>
  <si>
    <t>Costo x venta de activo fijo</t>
  </si>
  <si>
    <t>7300-025-000</t>
  </si>
  <si>
    <t>Costo x baja de activo fijo (Deterioro)</t>
  </si>
  <si>
    <t>7400-000-000</t>
  </si>
  <si>
    <t>Otros Productos</t>
  </si>
  <si>
    <t>7400-001-000</t>
  </si>
  <si>
    <t>Ganancia en venta de terrenos</t>
  </si>
  <si>
    <t>7400-002-000</t>
  </si>
  <si>
    <t>Ganancia en venta de edificios</t>
  </si>
  <si>
    <t>7400-003-000</t>
  </si>
  <si>
    <t>Ganancia en venta maquinaria y equipo</t>
  </si>
  <si>
    <t>7400-004-000</t>
  </si>
  <si>
    <t>Ganancia en venta equipo transporte</t>
  </si>
  <si>
    <t>7400-005-000</t>
  </si>
  <si>
    <t>Ganancia en venta mobiliario de oficina</t>
  </si>
  <si>
    <t>7400-006-000</t>
  </si>
  <si>
    <t>Ganancia en venta equipo de cómputo</t>
  </si>
  <si>
    <t>7400-007-000</t>
  </si>
  <si>
    <t>Ganancia en venta equipo comunicación</t>
  </si>
  <si>
    <t>7400-008-000</t>
  </si>
  <si>
    <t xml:space="preserve">Ganancia venta activos biológicos, veget </t>
  </si>
  <si>
    <t>7400-009-000</t>
  </si>
  <si>
    <t>Ganancia en venta de otros activos fijos</t>
  </si>
  <si>
    <t>7400-010-000</t>
  </si>
  <si>
    <t>Ganancia en venta de ferrocarriles</t>
  </si>
  <si>
    <t>7400-011-000</t>
  </si>
  <si>
    <t>Ganancia en venta de embarcaciones</t>
  </si>
  <si>
    <t>7400-012-000</t>
  </si>
  <si>
    <t>Ganancia en venta de aviones</t>
  </si>
  <si>
    <t>7400-013-000</t>
  </si>
  <si>
    <t>Ganancia venta troqueles y herramental</t>
  </si>
  <si>
    <t>7400-014-000</t>
  </si>
  <si>
    <t>Ganancia en venta equipo comunic telef</t>
  </si>
  <si>
    <t>7400-015-000</t>
  </si>
  <si>
    <t>Ganancia venta equipo comunic satelital</t>
  </si>
  <si>
    <t>7400-016-000</t>
  </si>
  <si>
    <t>Ganancia venta de equipo discapacit</t>
  </si>
  <si>
    <t>7400-017-000</t>
  </si>
  <si>
    <t>Ganancia venta equipo gener energía</t>
  </si>
  <si>
    <t>7400-018-000</t>
  </si>
  <si>
    <t>Ganancia venta otra maquinaria y equipo</t>
  </si>
  <si>
    <t>7400-019-000</t>
  </si>
  <si>
    <t>Ganancia x enajenación de acciones</t>
  </si>
  <si>
    <t>7400-020-000</t>
  </si>
  <si>
    <t>Ganancia x enajenación partes sociales</t>
  </si>
  <si>
    <t>7400-021-000</t>
  </si>
  <si>
    <t>Ing x estímulos fiscales</t>
  </si>
  <si>
    <t>7400-022-000</t>
  </si>
  <si>
    <t>7400-023-000</t>
  </si>
  <si>
    <t>7400-024-000</t>
  </si>
  <si>
    <t>Otros productos no acum, cancel prov</t>
  </si>
  <si>
    <t>7500-000-000</t>
  </si>
  <si>
    <t>Participación resultados otras empresas</t>
  </si>
  <si>
    <t>7500-001-000</t>
  </si>
  <si>
    <t>Participación en resultados subsidiarias</t>
  </si>
  <si>
    <t>7500-002-000</t>
  </si>
  <si>
    <t>Participación en resultados asociadas</t>
  </si>
  <si>
    <t>7700-000-000</t>
  </si>
  <si>
    <t>7700-001-000</t>
  </si>
  <si>
    <t>ISR del ejercicio causado</t>
  </si>
  <si>
    <t>7700-002-000</t>
  </si>
  <si>
    <t>ISR del ejercicio diferido</t>
  </si>
  <si>
    <t>7700-003-000</t>
  </si>
  <si>
    <t>ISR x remanente distribuible</t>
  </si>
  <si>
    <t>7700-004-000</t>
  </si>
  <si>
    <t>Otros imptos a la utilidad causados</t>
  </si>
  <si>
    <t>7700-005-000</t>
  </si>
  <si>
    <t>Otros imptos a la utilidad diferidos</t>
  </si>
  <si>
    <t>CUENTAS DE ORDEN</t>
  </si>
  <si>
    <t>8010-000-000</t>
  </si>
  <si>
    <t>UFIN del ejercicio</t>
  </si>
  <si>
    <t>8010-001-000</t>
  </si>
  <si>
    <t>8010-002-000</t>
  </si>
  <si>
    <t xml:space="preserve">Contra cta UFIN </t>
  </si>
  <si>
    <t>8020-000-000</t>
  </si>
  <si>
    <t>8020-001-000</t>
  </si>
  <si>
    <t>8020-002-000</t>
  </si>
  <si>
    <t xml:space="preserve">Contra cta CUFIN </t>
  </si>
  <si>
    <t>8030-000-000</t>
  </si>
  <si>
    <t>CUFIN de ejer ant y a partir de 2014</t>
  </si>
  <si>
    <t>8030-001-000</t>
  </si>
  <si>
    <t>CUFIN de ejer ant a partir 2014</t>
  </si>
  <si>
    <t>8030-002-000</t>
  </si>
  <si>
    <t>Contra CUFIN de ejer ant a partir 2014</t>
  </si>
  <si>
    <t>8030-003-000</t>
  </si>
  <si>
    <t>CUFIN a 2013</t>
  </si>
  <si>
    <t>8030-004-000</t>
  </si>
  <si>
    <t>Contra cta CUFIN a 2013</t>
  </si>
  <si>
    <t>8040-000-000</t>
  </si>
  <si>
    <t>CUFINRE del ejercicio</t>
  </si>
  <si>
    <t>8040-001-000</t>
  </si>
  <si>
    <t>8040-002-000</t>
  </si>
  <si>
    <t xml:space="preserve">Contra cta CUFINRE </t>
  </si>
  <si>
    <t>8050-000-000</t>
  </si>
  <si>
    <t>CUFINRE de ejercicios anteriores</t>
  </si>
  <si>
    <t>8050-001-000</t>
  </si>
  <si>
    <t>8050-002-000</t>
  </si>
  <si>
    <t>Contra cta CUFINRE ejercicios anteriores</t>
  </si>
  <si>
    <t>8060-000-000</t>
  </si>
  <si>
    <t>CUCA del ejercicio</t>
  </si>
  <si>
    <t>8060-001-000</t>
  </si>
  <si>
    <t>8060-002-000</t>
  </si>
  <si>
    <t>Contra cta CUCA</t>
  </si>
  <si>
    <t>8070-000-000</t>
  </si>
  <si>
    <t>CUCA de ejercicios anteriores</t>
  </si>
  <si>
    <t>8070-001-000</t>
  </si>
  <si>
    <t>8070-002-000</t>
  </si>
  <si>
    <t>Contra cta CUCA de ejercicios anteriores</t>
  </si>
  <si>
    <t>8080-000-000</t>
  </si>
  <si>
    <t>Ajuste anual x inflación acumulable</t>
  </si>
  <si>
    <t>8080-001-000</t>
  </si>
  <si>
    <t>8080-002-000</t>
  </si>
  <si>
    <t>Acumulación del ajuste anual inflacionario</t>
  </si>
  <si>
    <t>8090-000-000</t>
  </si>
  <si>
    <t>Ajuste anual x inflación deducible</t>
  </si>
  <si>
    <t>8090-001-000</t>
  </si>
  <si>
    <t>8090-002-000</t>
  </si>
  <si>
    <t>Deducción del ajuste anual inflacionario</t>
  </si>
  <si>
    <t>8100-000-000</t>
  </si>
  <si>
    <t>Deducción inversión, depn fiscal</t>
  </si>
  <si>
    <t>8100-001-000</t>
  </si>
  <si>
    <t>Deducción inversión, depn y amort fiscal</t>
  </si>
  <si>
    <t>8100-002-000</t>
  </si>
  <si>
    <t xml:space="preserve">Contra cta deducción de inversiones </t>
  </si>
  <si>
    <t>8110-000-000</t>
  </si>
  <si>
    <t>Utilidad/Perd fiscal venta y/o baja activos</t>
  </si>
  <si>
    <t>8110-001-000</t>
  </si>
  <si>
    <t>8110-002-000</t>
  </si>
  <si>
    <t>Contra cta utilidad/Perd fiscal venta activos</t>
  </si>
  <si>
    <t>8120-000-000</t>
  </si>
  <si>
    <t>Utilidad o Perd fiscal venta acciones</t>
  </si>
  <si>
    <t>8120-001-000</t>
  </si>
  <si>
    <t>Utilidad o Perd fiscal en venta acciones</t>
  </si>
  <si>
    <t>8120-002-000</t>
  </si>
  <si>
    <t>Contra cta utilidad/Perd fiscal vta acciones</t>
  </si>
  <si>
    <t>8130-001-000</t>
  </si>
  <si>
    <t>Pérdidas fiscales x amort act</t>
  </si>
  <si>
    <t>8130-002-000</t>
  </si>
  <si>
    <t>Actualización Pérdidas fiscales x amort</t>
  </si>
  <si>
    <t>8140-001-000</t>
  </si>
  <si>
    <t>Mercancías recibidas en consignación</t>
  </si>
  <si>
    <t>8140-002-000</t>
  </si>
  <si>
    <t>Consignación de mercancías recibidas</t>
  </si>
  <si>
    <t>8150-001-000</t>
  </si>
  <si>
    <t>Crédito IVA e IEPS x importac empr certif</t>
  </si>
  <si>
    <t>Crédito IVA e IEPS x importac merc certif</t>
  </si>
  <si>
    <t>8150-002-000</t>
  </si>
  <si>
    <t>Importac merc certif crédito fiscal IVA IEPS</t>
  </si>
  <si>
    <t>8160-001-000</t>
  </si>
  <si>
    <t>Crédito IVA IEPS x la importac AF certif</t>
  </si>
  <si>
    <t>8160-002-000</t>
  </si>
  <si>
    <t>Importac AF crédito fiscal de IVA e IEPS</t>
  </si>
  <si>
    <t>8990-001-000</t>
  </si>
  <si>
    <t>Otras ctas de orden</t>
  </si>
  <si>
    <t>8990-002-000</t>
  </si>
  <si>
    <t>Contra cta otras ctas de orden</t>
  </si>
  <si>
    <t>CATALOGO DE CUENTAS CON CÓGIGO AGRUPADOR DEL SAT</t>
  </si>
  <si>
    <t>Codigo Agrupador SAT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</si>
</sst>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Red]\-&quot;$&quot;#,##0.00"/>
    <numFmt numFmtId="44" formatCode="_-&quot;$&quot;* #,##0.00_-;\-&quot;$&quot;* #,##0.00_-;_-&quot;$&quot;* &quot;-&quot;??_-;_-@_-"/>
    <numFmt numFmtId="43" formatCode="_-* #,##0.00_-;\-* #,##0.00_-;_-* &quot;-&quot;??_-;_-@_-"/>
    <numFmt numFmtId="164" formatCode="_-* #,##0_-;\-* #,##0_-;_-* &quot;-&quot;??_-;_-@_-"/>
    <numFmt numFmtId="165" formatCode="_-* #,##0.0000_-;\-* #,##0.0000_-;_-* &quot;-&quot;??_-;_-@_-"/>
    <numFmt numFmtId="166" formatCode="0.0%"/>
    <numFmt numFmtId="167" formatCode="0.0000"/>
    <numFmt numFmtId="168" formatCode="_-[$€]* #,##0.00_-;\-[$€]* #,##0.00_-;_-[$€]* &quot;-&quot;??_-;_-@_-"/>
    <numFmt numFmtId="169" formatCode="_(* #,##0_);_(* \(#,##0\);_(* &quot;-&quot;??_);_(@_)"/>
    <numFmt numFmtId="170" formatCode="_-* #,##0.000_-;\-* #,##0.000_-;_-* &quot;-&quot;??_-;_-@_-"/>
    <numFmt numFmtId="171" formatCode="0.000%"/>
    <numFmt numFmtId="172" formatCode="_-&quot;$&quot;* #,##0.0000_-;\-&quot;$&quot;* #,##0.0000_-;_-&quot;$&quot;* &quot;-&quot;??_-;_-@_-"/>
    <numFmt numFmtId="173" formatCode="_-* #,##0.00000_-;\-* #,##0.00000_-;_-* &quot;-&quot;??_-;_-@_-"/>
    <numFmt numFmtId="174" formatCode="#,##0.0000000000"/>
    <numFmt numFmtId="175" formatCode="0.00000"/>
    <numFmt numFmtId="176" formatCode="0_ ;\-0\ "/>
  </numFmts>
  <fonts count="54" x14ac:knownFonts="1">
    <font>
      <sz val="10"/>
      <name val="Arial"/>
    </font>
    <font>
      <sz val="11"/>
      <color theme="1"/>
      <name val="Calibri"/>
      <family val="2"/>
      <scheme val="minor"/>
    </font>
    <font>
      <sz val="10"/>
      <name val="Arial"/>
    </font>
    <font>
      <b/>
      <sz val="12"/>
      <name val="Arial"/>
      <family val="2"/>
    </font>
    <font>
      <b/>
      <sz val="10"/>
      <name val="Arial"/>
      <family val="2"/>
    </font>
    <font>
      <b/>
      <sz val="11"/>
      <name val="Arial"/>
      <family val="2"/>
    </font>
    <font>
      <sz val="10"/>
      <name val="Arial"/>
      <family val="2"/>
    </font>
    <font>
      <b/>
      <sz val="8"/>
      <color indexed="81"/>
      <name val="Tahoma"/>
      <family val="2"/>
    </font>
    <font>
      <sz val="8"/>
      <color indexed="81"/>
      <name val="Tahoma"/>
      <family val="2"/>
    </font>
    <font>
      <sz val="8"/>
      <name val="Arial"/>
      <family val="2"/>
    </font>
    <font>
      <b/>
      <i/>
      <sz val="10"/>
      <name val="Arial"/>
      <family val="2"/>
    </font>
    <font>
      <sz val="8"/>
      <name val="Arial"/>
      <family val="2"/>
    </font>
    <font>
      <b/>
      <sz val="9"/>
      <name val="Arial"/>
      <family val="2"/>
    </font>
    <font>
      <b/>
      <sz val="9"/>
      <color indexed="81"/>
      <name val="Tahoma"/>
      <family val="2"/>
    </font>
    <font>
      <sz val="9"/>
      <color indexed="81"/>
      <name val="Tahoma"/>
      <family val="2"/>
    </font>
    <font>
      <b/>
      <sz val="10"/>
      <color rgb="FFFF0000"/>
      <name val="Arial"/>
      <family val="2"/>
    </font>
    <font>
      <b/>
      <sz val="12"/>
      <color rgb="FF000099"/>
      <name val="Arial"/>
      <family val="2"/>
    </font>
    <font>
      <sz val="9"/>
      <name val="Arial"/>
      <family val="2"/>
    </font>
    <font>
      <b/>
      <sz val="9"/>
      <color rgb="FF000099"/>
      <name val="Arial"/>
      <family val="2"/>
    </font>
    <font>
      <b/>
      <sz val="10"/>
      <color rgb="FF000099"/>
      <name val="Arial"/>
      <family val="2"/>
    </font>
    <font>
      <sz val="10"/>
      <color theme="1"/>
      <name val="Arial"/>
      <family val="2"/>
    </font>
    <font>
      <b/>
      <sz val="10"/>
      <color theme="1"/>
      <name val="Arial"/>
      <family val="2"/>
    </font>
    <font>
      <sz val="9"/>
      <color rgb="FF000099"/>
      <name val="Arial"/>
      <family val="2"/>
    </font>
    <font>
      <b/>
      <i/>
      <sz val="9"/>
      <name val="Arial"/>
      <family val="2"/>
    </font>
    <font>
      <b/>
      <u/>
      <sz val="9"/>
      <name val="Arial"/>
      <family val="2"/>
    </font>
    <font>
      <b/>
      <u/>
      <sz val="9"/>
      <color indexed="18"/>
      <name val="Arial"/>
      <family val="2"/>
    </font>
    <font>
      <b/>
      <sz val="9"/>
      <color indexed="8"/>
      <name val="Arial"/>
      <family val="2"/>
    </font>
    <font>
      <i/>
      <sz val="9"/>
      <name val="Arial"/>
      <family val="2"/>
    </font>
    <font>
      <b/>
      <sz val="11"/>
      <color rgb="FF000099"/>
      <name val="Arial"/>
      <family val="2"/>
    </font>
    <font>
      <sz val="10"/>
      <color rgb="FF000099"/>
      <name val="Arial"/>
      <family val="2"/>
    </font>
    <font>
      <b/>
      <sz val="9"/>
      <color indexed="9"/>
      <name val="Arial"/>
      <family val="2"/>
    </font>
    <font>
      <sz val="8"/>
      <color rgb="FFFF0000"/>
      <name val="Arial"/>
      <family val="2"/>
    </font>
    <font>
      <b/>
      <sz val="8"/>
      <color theme="0"/>
      <name val="Arial"/>
      <family val="2"/>
    </font>
    <font>
      <b/>
      <sz val="8"/>
      <color rgb="FFFF0000"/>
      <name val="Arial"/>
      <family val="2"/>
    </font>
    <font>
      <b/>
      <sz val="8"/>
      <name val="Arial"/>
      <family val="2"/>
    </font>
    <font>
      <b/>
      <sz val="8"/>
      <color rgb="FF000099"/>
      <name val="Arial"/>
      <family val="2"/>
    </font>
    <font>
      <sz val="8"/>
      <color rgb="FF000099"/>
      <name val="Arial"/>
      <family val="2"/>
    </font>
    <font>
      <b/>
      <sz val="8"/>
      <color indexed="18"/>
      <name val="Arial"/>
      <family val="2"/>
    </font>
    <font>
      <b/>
      <sz val="8"/>
      <color indexed="9"/>
      <name val="Arial"/>
      <family val="2"/>
    </font>
    <font>
      <b/>
      <sz val="8"/>
      <color theme="1"/>
      <name val="Arial"/>
      <family val="2"/>
    </font>
    <font>
      <sz val="8"/>
      <color indexed="8"/>
      <name val="Arial"/>
      <family val="2"/>
    </font>
    <font>
      <sz val="8"/>
      <color theme="1"/>
      <name val="Arial"/>
      <family val="2"/>
    </font>
    <font>
      <sz val="9"/>
      <color theme="0"/>
      <name val="Calibri"/>
      <family val="2"/>
      <scheme val="minor"/>
    </font>
    <font>
      <sz val="9"/>
      <color rgb="FFFFFFFF"/>
      <name val="Calibri"/>
      <family val="2"/>
    </font>
    <font>
      <b/>
      <sz val="8"/>
      <color rgb="FF000000"/>
      <name val="Arial"/>
      <family val="2"/>
    </font>
    <font>
      <i/>
      <sz val="8"/>
      <color theme="1"/>
      <name val="Arial"/>
      <family val="2"/>
    </font>
    <font>
      <i/>
      <sz val="8"/>
      <color rgb="FF000000"/>
      <name val="Arial"/>
      <family val="2"/>
    </font>
    <font>
      <b/>
      <i/>
      <sz val="8"/>
      <color rgb="FF000099"/>
      <name val="Arial"/>
      <family val="2"/>
    </font>
    <font>
      <b/>
      <i/>
      <sz val="8"/>
      <color theme="1"/>
      <name val="Arial"/>
      <family val="2"/>
    </font>
    <font>
      <i/>
      <sz val="8"/>
      <name val="Arial"/>
      <family val="2"/>
    </font>
    <font>
      <i/>
      <sz val="8"/>
      <color rgb="FF000099"/>
      <name val="Arial"/>
      <family val="2"/>
    </font>
    <font>
      <sz val="8"/>
      <color rgb="FF000000"/>
      <name val="Arial"/>
      <family val="2"/>
    </font>
    <font>
      <b/>
      <i/>
      <sz val="8"/>
      <color rgb="FF000000"/>
      <name val="Arial"/>
      <family val="2"/>
    </font>
    <font>
      <sz val="11"/>
      <name val="Calibri"/>
      <family val="2"/>
    </font>
  </fonts>
  <fills count="3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15"/>
        <bgColor indexed="64"/>
      </patternFill>
    </fill>
    <fill>
      <patternFill patternType="solid">
        <fgColor indexed="27"/>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66"/>
        <bgColor indexed="64"/>
      </patternFill>
    </fill>
    <fill>
      <patternFill patternType="solid">
        <fgColor rgb="FFDAEEF3"/>
        <bgColor indexed="64"/>
      </patternFill>
    </fill>
    <fill>
      <patternFill patternType="solid">
        <fgColor rgb="FFDAE3F3"/>
        <bgColor indexed="64"/>
      </patternFill>
    </fill>
    <fill>
      <patternFill patternType="solid">
        <fgColor rgb="FF00B0F0"/>
        <bgColor indexed="64"/>
      </patternFill>
    </fill>
    <fill>
      <patternFill patternType="solid">
        <fgColor theme="7" tint="0.79998168889431442"/>
        <bgColor indexed="64"/>
      </patternFill>
    </fill>
    <fill>
      <patternFill patternType="solid">
        <fgColor indexed="44"/>
        <bgColor indexed="64"/>
      </patternFill>
    </fill>
    <fill>
      <patternFill patternType="solid">
        <fgColor indexed="26"/>
        <bgColor indexed="64"/>
      </patternFill>
    </fill>
    <fill>
      <patternFill patternType="solid">
        <fgColor rgb="FFFFFFFF"/>
        <bgColor rgb="FF000000"/>
      </patternFill>
    </fill>
    <fill>
      <patternFill patternType="solid">
        <fgColor rgb="FFCCFFFF"/>
        <bgColor rgb="FF000000"/>
      </patternFill>
    </fill>
    <fill>
      <patternFill patternType="solid">
        <fgColor rgb="FFC0C0C0"/>
        <bgColor rgb="FF000000"/>
      </patternFill>
    </fill>
    <fill>
      <patternFill patternType="solid">
        <fgColor rgb="FFCCECFF"/>
        <bgColor indexed="64"/>
      </patternFill>
    </fill>
    <fill>
      <patternFill patternType="solid">
        <fgColor rgb="FFCCFFCC"/>
        <bgColor rgb="FF000000"/>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rgb="FF002060"/>
        <bgColor indexed="64"/>
      </patternFill>
    </fill>
    <fill>
      <patternFill patternType="solid">
        <fgColor rgb="FFCCFF99"/>
        <bgColor indexed="64"/>
      </patternFill>
    </fill>
    <fill>
      <patternFill patternType="solid">
        <fgColor rgb="FFFFFFFF"/>
        <bgColor indexed="64"/>
      </patternFill>
    </fill>
    <fill>
      <patternFill patternType="solid">
        <fgColor rgb="FFD9E1F2"/>
        <bgColor indexed="64"/>
      </patternFill>
    </fill>
    <fill>
      <patternFill patternType="solid">
        <fgColor rgb="FFEDEDED"/>
        <bgColor indexed="64"/>
      </patternFill>
    </fill>
    <fill>
      <patternFill patternType="solid">
        <fgColor theme="2" tint="-9.9978637043366805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8"/>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2">
    <xf numFmtId="0" fontId="0" fillId="0" borderId="0"/>
    <xf numFmtId="168"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0" fontId="1" fillId="0" borderId="0"/>
  </cellStyleXfs>
  <cellXfs count="1179">
    <xf numFmtId="0" fontId="0" fillId="0" borderId="0" xfId="0"/>
    <xf numFmtId="164" fontId="0" fillId="0" borderId="0" xfId="2" applyNumberFormat="1" applyFont="1"/>
    <xf numFmtId="164" fontId="0" fillId="0" borderId="0" xfId="2" applyNumberFormat="1" applyFont="1" applyBorder="1"/>
    <xf numFmtId="164" fontId="0" fillId="0" borderId="2" xfId="2" applyNumberFormat="1" applyFont="1" applyBorder="1"/>
    <xf numFmtId="0" fontId="4" fillId="2" borderId="1" xfId="0" applyFont="1" applyFill="1" applyBorder="1" applyAlignment="1">
      <alignment horizontal="center"/>
    </xf>
    <xf numFmtId="0" fontId="6" fillId="0" borderId="0" xfId="0" applyFont="1"/>
    <xf numFmtId="164" fontId="0" fillId="0" borderId="3" xfId="2" applyNumberFormat="1" applyFont="1" applyBorder="1"/>
    <xf numFmtId="164" fontId="4" fillId="0" borderId="2" xfId="2" applyNumberFormat="1" applyFont="1" applyBorder="1"/>
    <xf numFmtId="164" fontId="4" fillId="3" borderId="1" xfId="2" applyNumberFormat="1" applyFont="1" applyFill="1" applyBorder="1"/>
    <xf numFmtId="0" fontId="4" fillId="4" borderId="1" xfId="0" applyFont="1" applyFill="1" applyBorder="1" applyAlignment="1">
      <alignment horizontal="center"/>
    </xf>
    <xf numFmtId="164" fontId="4" fillId="3" borderId="4" xfId="2" applyNumberFormat="1" applyFont="1" applyFill="1" applyBorder="1"/>
    <xf numFmtId="0" fontId="4" fillId="4" borderId="1" xfId="0" applyFont="1" applyFill="1" applyBorder="1" applyAlignment="1">
      <alignment horizontal="center" wrapText="1"/>
    </xf>
    <xf numFmtId="43" fontId="4" fillId="3" borderId="5" xfId="2" applyNumberFormat="1" applyFont="1" applyFill="1" applyBorder="1"/>
    <xf numFmtId="2" fontId="4" fillId="3" borderId="1" xfId="0" applyNumberFormat="1" applyFont="1" applyFill="1" applyBorder="1"/>
    <xf numFmtId="164" fontId="4" fillId="3" borderId="1" xfId="0" applyNumberFormat="1" applyFont="1" applyFill="1" applyBorder="1"/>
    <xf numFmtId="164" fontId="0" fillId="0" borderId="0" xfId="2" applyNumberFormat="1" applyFont="1" applyAlignment="1">
      <alignment horizontal="left"/>
    </xf>
    <xf numFmtId="9" fontId="4" fillId="3" borderId="4" xfId="5" applyFont="1" applyFill="1" applyBorder="1"/>
    <xf numFmtId="164" fontId="4" fillId="3" borderId="4" xfId="0" applyNumberFormat="1" applyFont="1" applyFill="1" applyBorder="1"/>
    <xf numFmtId="10" fontId="4" fillId="3" borderId="4" xfId="5" applyNumberFormat="1" applyFont="1" applyFill="1" applyBorder="1" applyAlignment="1">
      <alignment horizontal="center"/>
    </xf>
    <xf numFmtId="164" fontId="0" fillId="0" borderId="6" xfId="2" applyNumberFormat="1" applyFont="1" applyBorder="1"/>
    <xf numFmtId="10" fontId="0" fillId="0" borderId="0" xfId="5" applyNumberFormat="1" applyFont="1"/>
    <xf numFmtId="164" fontId="0" fillId="3" borderId="1" xfId="2" applyNumberFormat="1" applyFont="1" applyFill="1" applyBorder="1" applyAlignment="1">
      <alignment horizontal="center"/>
    </xf>
    <xf numFmtId="164" fontId="0" fillId="0" borderId="2" xfId="2" applyNumberFormat="1" applyFont="1" applyBorder="1" applyAlignment="1">
      <alignment horizontal="left"/>
    </xf>
    <xf numFmtId="10" fontId="0" fillId="0" borderId="7" xfId="5" applyNumberFormat="1" applyFont="1" applyBorder="1"/>
    <xf numFmtId="0" fontId="4" fillId="2" borderId="4" xfId="0" applyFont="1" applyFill="1" applyBorder="1"/>
    <xf numFmtId="0" fontId="6" fillId="2" borderId="4" xfId="0" applyFont="1" applyFill="1" applyBorder="1"/>
    <xf numFmtId="0" fontId="6" fillId="2" borderId="1" xfId="0" applyFont="1" applyFill="1" applyBorder="1"/>
    <xf numFmtId="0" fontId="10" fillId="2" borderId="4" xfId="0" applyFont="1" applyFill="1" applyBorder="1"/>
    <xf numFmtId="0" fontId="6" fillId="0" borderId="8" xfId="0" applyFont="1" applyBorder="1" applyAlignment="1">
      <alignment horizontal="center"/>
    </xf>
    <xf numFmtId="0" fontId="6" fillId="0" borderId="8" xfId="0" applyFont="1" applyBorder="1" applyAlignment="1">
      <alignment horizontal="center" wrapText="1"/>
    </xf>
    <xf numFmtId="164" fontId="6" fillId="6" borderId="4" xfId="2" applyNumberFormat="1" applyFont="1" applyFill="1" applyBorder="1"/>
    <xf numFmtId="164" fontId="6" fillId="6" borderId="1" xfId="2" applyNumberFormat="1" applyFont="1" applyFill="1" applyBorder="1"/>
    <xf numFmtId="164" fontId="6" fillId="0" borderId="1" xfId="2" applyNumberFormat="1" applyFont="1" applyBorder="1"/>
    <xf numFmtId="164" fontId="6" fillId="3" borderId="1" xfId="2" applyNumberFormat="1" applyFont="1" applyFill="1" applyBorder="1"/>
    <xf numFmtId="0" fontId="6" fillId="0" borderId="0" xfId="0" applyFont="1" applyFill="1" applyBorder="1"/>
    <xf numFmtId="164" fontId="4" fillId="0" borderId="0" xfId="2" applyNumberFormat="1" applyFont="1"/>
    <xf numFmtId="164" fontId="0" fillId="0" borderId="0" xfId="2" applyNumberFormat="1" applyFont="1" applyAlignment="1">
      <alignment horizontal="center" wrapText="1"/>
    </xf>
    <xf numFmtId="164" fontId="4" fillId="0" borderId="0" xfId="0" applyNumberFormat="1" applyFont="1" applyFill="1" applyBorder="1"/>
    <xf numFmtId="10" fontId="4" fillId="0" borderId="7" xfId="5" applyNumberFormat="1" applyFont="1" applyBorder="1"/>
    <xf numFmtId="10" fontId="4" fillId="0" borderId="0" xfId="5" applyNumberFormat="1" applyFont="1"/>
    <xf numFmtId="0" fontId="4" fillId="0" borderId="0" xfId="0" applyFont="1" applyBorder="1" applyAlignment="1">
      <alignment horizontal="center" wrapText="1"/>
    </xf>
    <xf numFmtId="0" fontId="4" fillId="0" borderId="0" xfId="0" applyFont="1" applyFill="1" applyBorder="1" applyAlignment="1">
      <alignment horizontal="center"/>
    </xf>
    <xf numFmtId="164" fontId="4" fillId="3" borderId="1" xfId="2" applyNumberFormat="1" applyFont="1" applyFill="1" applyBorder="1" applyAlignment="1"/>
    <xf numFmtId="0" fontId="6" fillId="0" borderId="0" xfId="0" applyFont="1" applyBorder="1"/>
    <xf numFmtId="9" fontId="4" fillId="3" borderId="1" xfId="5" applyFont="1" applyFill="1" applyBorder="1" applyAlignment="1"/>
    <xf numFmtId="9" fontId="4" fillId="3" borderId="5" xfId="5" applyFont="1" applyFill="1" applyBorder="1" applyAlignment="1">
      <alignment horizontal="center"/>
    </xf>
    <xf numFmtId="0" fontId="4" fillId="4" borderId="17" xfId="0" applyFont="1" applyFill="1" applyBorder="1" applyAlignment="1">
      <alignment horizontal="center"/>
    </xf>
    <xf numFmtId="164" fontId="4" fillId="4" borderId="17" xfId="2" applyNumberFormat="1" applyFont="1" applyFill="1" applyBorder="1" applyAlignment="1">
      <alignment horizontal="left"/>
    </xf>
    <xf numFmtId="164" fontId="4" fillId="2" borderId="1" xfId="2" applyNumberFormat="1" applyFont="1" applyFill="1" applyBorder="1"/>
    <xf numFmtId="164" fontId="4" fillId="2" borderId="1" xfId="0" applyNumberFormat="1" applyFont="1" applyFill="1" applyBorder="1"/>
    <xf numFmtId="164" fontId="4" fillId="3" borderId="1" xfId="2" applyNumberFormat="1" applyFont="1" applyFill="1" applyBorder="1" applyAlignment="1">
      <alignment horizontal="center"/>
    </xf>
    <xf numFmtId="164" fontId="6" fillId="2" borderId="1" xfId="2" applyNumberFormat="1" applyFont="1" applyFill="1" applyBorder="1"/>
    <xf numFmtId="0" fontId="6" fillId="0" borderId="0" xfId="0" applyFont="1" applyFill="1" applyBorder="1" applyAlignment="1"/>
    <xf numFmtId="0" fontId="6" fillId="3" borderId="1" xfId="0" applyFont="1" applyFill="1" applyBorder="1"/>
    <xf numFmtId="164" fontId="4" fillId="0" borderId="0" xfId="2" applyNumberFormat="1" applyFont="1" applyFill="1" applyBorder="1" applyAlignment="1"/>
    <xf numFmtId="164" fontId="6" fillId="3" borderId="14" xfId="2" applyNumberFormat="1" applyFont="1" applyFill="1" applyBorder="1"/>
    <xf numFmtId="164" fontId="6" fillId="0" borderId="1" xfId="2" applyNumberFormat="1" applyFont="1" applyFill="1" applyBorder="1"/>
    <xf numFmtId="0" fontId="6" fillId="2" borderId="0" xfId="0" applyFont="1" applyFill="1" applyBorder="1" applyAlignment="1">
      <alignment horizontal="left"/>
    </xf>
    <xf numFmtId="0" fontId="4" fillId="2" borderId="0" xfId="0" applyFont="1" applyFill="1"/>
    <xf numFmtId="0" fontId="3" fillId="2" borderId="0" xfId="0" applyFont="1" applyFill="1"/>
    <xf numFmtId="164" fontId="4" fillId="2" borderId="22" xfId="2" applyNumberFormat="1" applyFont="1" applyFill="1" applyBorder="1" applyAlignment="1">
      <alignment horizontal="left"/>
    </xf>
    <xf numFmtId="164" fontId="4" fillId="2" borderId="6" xfId="2" applyNumberFormat="1" applyFont="1" applyFill="1" applyBorder="1" applyAlignment="1">
      <alignment horizontal="left"/>
    </xf>
    <xf numFmtId="0" fontId="4" fillId="2" borderId="0" xfId="0" applyFont="1" applyFill="1" applyBorder="1" applyAlignment="1">
      <alignment horizontal="left" wrapText="1"/>
    </xf>
    <xf numFmtId="164" fontId="4" fillId="2" borderId="23" xfId="2" applyNumberFormat="1" applyFont="1" applyFill="1" applyBorder="1"/>
    <xf numFmtId="0" fontId="4" fillId="2" borderId="1" xfId="0" applyFont="1" applyFill="1" applyBorder="1" applyAlignment="1">
      <alignment horizontal="center" wrapText="1"/>
    </xf>
    <xf numFmtId="0" fontId="4" fillId="2" borderId="0" xfId="0" applyFont="1" applyFill="1" applyBorder="1" applyAlignment="1">
      <alignment horizontal="center" wrapText="1"/>
    </xf>
    <xf numFmtId="164" fontId="6" fillId="2" borderId="1" xfId="0" applyNumberFormat="1" applyFont="1" applyFill="1" applyBorder="1" applyAlignment="1">
      <alignment horizontal="left"/>
    </xf>
    <xf numFmtId="164" fontId="4" fillId="2" borderId="1" xfId="0" applyNumberFormat="1" applyFont="1" applyFill="1" applyBorder="1" applyAlignment="1">
      <alignment horizontal="left"/>
    </xf>
    <xf numFmtId="0" fontId="6" fillId="2" borderId="0" xfId="0" applyFont="1" applyFill="1"/>
    <xf numFmtId="0" fontId="6" fillId="2" borderId="15" xfId="0" applyFont="1" applyFill="1" applyBorder="1"/>
    <xf numFmtId="164" fontId="6" fillId="2" borderId="8" xfId="2" applyNumberFormat="1" applyFont="1" applyFill="1" applyBorder="1"/>
    <xf numFmtId="9" fontId="4" fillId="0" borderId="0" xfId="5" applyFont="1" applyFill="1" applyBorder="1" applyAlignment="1">
      <alignment horizontal="center"/>
    </xf>
    <xf numFmtId="0" fontId="4" fillId="0" borderId="0" xfId="0" applyFont="1" applyFill="1" applyBorder="1" applyAlignment="1">
      <alignment horizontal="left"/>
    </xf>
    <xf numFmtId="164" fontId="4" fillId="3" borderId="0" xfId="0" applyNumberFormat="1" applyFont="1" applyFill="1" applyBorder="1"/>
    <xf numFmtId="164" fontId="4" fillId="3" borderId="19" xfId="0" applyNumberFormat="1" applyFont="1" applyFill="1" applyBorder="1"/>
    <xf numFmtId="164" fontId="4" fillId="3" borderId="5" xfId="2" applyNumberFormat="1" applyFont="1" applyFill="1" applyBorder="1" applyAlignment="1">
      <alignment horizontal="center"/>
    </xf>
    <xf numFmtId="164" fontId="4" fillId="2" borderId="26" xfId="2" applyNumberFormat="1" applyFont="1" applyFill="1" applyBorder="1" applyAlignment="1">
      <alignment horizontal="center"/>
    </xf>
    <xf numFmtId="164" fontId="4" fillId="2" borderId="28" xfId="2" applyNumberFormat="1" applyFont="1" applyFill="1" applyBorder="1" applyAlignment="1">
      <alignment horizontal="center"/>
    </xf>
    <xf numFmtId="164" fontId="4" fillId="3" borderId="4" xfId="2" applyNumberFormat="1" applyFont="1" applyFill="1" applyBorder="1" applyAlignment="1">
      <alignment horizontal="center"/>
    </xf>
    <xf numFmtId="164" fontId="4" fillId="3" borderId="14" xfId="2" applyNumberFormat="1" applyFont="1" applyFill="1" applyBorder="1"/>
    <xf numFmtId="164" fontId="6" fillId="3" borderId="4" xfId="2" applyNumberFormat="1" applyFont="1" applyFill="1" applyBorder="1"/>
    <xf numFmtId="167" fontId="4" fillId="3" borderId="1" xfId="0" applyNumberFormat="1" applyFont="1" applyFill="1" applyBorder="1"/>
    <xf numFmtId="0" fontId="4" fillId="2" borderId="0" xfId="0" applyFont="1" applyFill="1" applyBorder="1" applyAlignment="1">
      <alignment horizontal="center"/>
    </xf>
    <xf numFmtId="0" fontId="6" fillId="0" borderId="0" xfId="0" applyFont="1" applyFill="1" applyBorder="1" applyAlignment="1">
      <alignment horizontal="left" wrapText="1"/>
    </xf>
    <xf numFmtId="0" fontId="6" fillId="0" borderId="0" xfId="0" applyFont="1" applyFill="1" applyBorder="1" applyAlignment="1">
      <alignment horizontal="center"/>
    </xf>
    <xf numFmtId="0" fontId="4" fillId="4" borderId="4" xfId="0" applyFont="1" applyFill="1" applyBorder="1" applyAlignment="1">
      <alignment horizontal="center" wrapText="1"/>
    </xf>
    <xf numFmtId="0" fontId="6" fillId="2" borderId="0" xfId="0" applyFont="1" applyFill="1" applyBorder="1" applyAlignment="1">
      <alignment horizontal="left" wrapText="1"/>
    </xf>
    <xf numFmtId="167" fontId="6" fillId="3" borderId="1" xfId="0" applyNumberFormat="1" applyFont="1" applyFill="1" applyBorder="1"/>
    <xf numFmtId="0" fontId="6" fillId="0" borderId="0" xfId="0" applyFont="1" applyFill="1" applyBorder="1" applyAlignment="1">
      <alignment horizontal="left"/>
    </xf>
    <xf numFmtId="164" fontId="6" fillId="0" borderId="0" xfId="2" applyNumberFormat="1" applyFont="1" applyFill="1" applyBorder="1" applyAlignment="1"/>
    <xf numFmtId="0" fontId="6" fillId="2" borderId="1" xfId="0" applyFont="1" applyFill="1" applyBorder="1" applyAlignment="1">
      <alignment horizontal="center"/>
    </xf>
    <xf numFmtId="164" fontId="6" fillId="0" borderId="0" xfId="0" applyNumberFormat="1" applyFont="1" applyFill="1" applyBorder="1" applyAlignment="1"/>
    <xf numFmtId="164" fontId="6" fillId="3" borderId="1" xfId="2" applyNumberFormat="1" applyFont="1" applyFill="1" applyBorder="1" applyAlignment="1"/>
    <xf numFmtId="164" fontId="6" fillId="3" borderId="17" xfId="2" applyNumberFormat="1" applyFont="1" applyFill="1" applyBorder="1"/>
    <xf numFmtId="164" fontId="6" fillId="3" borderId="1" xfId="2" applyNumberFormat="1" applyFont="1" applyFill="1" applyBorder="1" applyAlignment="1">
      <alignment horizontal="left"/>
    </xf>
    <xf numFmtId="164" fontId="6" fillId="3" borderId="1" xfId="0" applyNumberFormat="1" applyFont="1" applyFill="1" applyBorder="1"/>
    <xf numFmtId="164" fontId="6" fillId="3" borderId="14" xfId="0" applyNumberFormat="1" applyFont="1" applyFill="1" applyBorder="1" applyAlignment="1"/>
    <xf numFmtId="43" fontId="6" fillId="2" borderId="1" xfId="2" applyNumberFormat="1" applyFont="1" applyFill="1" applyBorder="1"/>
    <xf numFmtId="0" fontId="6" fillId="2" borderId="41" xfId="0" applyFont="1" applyFill="1" applyBorder="1"/>
    <xf numFmtId="164" fontId="6" fillId="2" borderId="42" xfId="2" applyNumberFormat="1" applyFont="1" applyFill="1" applyBorder="1"/>
    <xf numFmtId="164" fontId="6" fillId="2" borderId="2" xfId="2" applyNumberFormat="1" applyFont="1" applyFill="1" applyBorder="1"/>
    <xf numFmtId="164" fontId="6" fillId="2" borderId="1" xfId="2" applyNumberFormat="1" applyFont="1" applyFill="1" applyBorder="1" applyAlignment="1"/>
    <xf numFmtId="0" fontId="6" fillId="3" borderId="1" xfId="0" quotePrefix="1" applyFont="1" applyFill="1" applyBorder="1" applyAlignment="1">
      <alignment horizontal="center"/>
    </xf>
    <xf numFmtId="0" fontId="6" fillId="3" borderId="1" xfId="0" applyFont="1" applyFill="1" applyBorder="1" applyAlignment="1">
      <alignment horizontal="center"/>
    </xf>
    <xf numFmtId="10" fontId="6" fillId="0" borderId="1" xfId="5" applyNumberFormat="1" applyFont="1" applyBorder="1" applyAlignment="1">
      <alignment horizontal="center"/>
    </xf>
    <xf numFmtId="10" fontId="6" fillId="0" borderId="0" xfId="5" applyNumberFormat="1" applyFont="1" applyBorder="1" applyAlignment="1">
      <alignment horizontal="center"/>
    </xf>
    <xf numFmtId="10" fontId="6" fillId="0" borderId="0" xfId="5" applyNumberFormat="1" applyFont="1" applyFill="1" applyBorder="1" applyAlignment="1">
      <alignment horizontal="center"/>
    </xf>
    <xf numFmtId="0" fontId="6" fillId="3" borderId="14" xfId="0" applyFont="1" applyFill="1" applyBorder="1" applyAlignment="1">
      <alignment horizontal="center"/>
    </xf>
    <xf numFmtId="0" fontId="4" fillId="0" borderId="0" xfId="0" applyFont="1" applyFill="1" applyBorder="1" applyAlignment="1">
      <alignment horizontal="center" wrapText="1"/>
    </xf>
    <xf numFmtId="0" fontId="4" fillId="4" borderId="16" xfId="0" applyFont="1" applyFill="1" applyBorder="1" applyAlignment="1">
      <alignment horizontal="center" wrapText="1"/>
    </xf>
    <xf numFmtId="0" fontId="4" fillId="4" borderId="0" xfId="0" applyFont="1" applyFill="1" applyBorder="1" applyAlignment="1">
      <alignment horizontal="center" wrapText="1"/>
    </xf>
    <xf numFmtId="0" fontId="4" fillId="4" borderId="43" xfId="0" applyFont="1" applyFill="1" applyBorder="1" applyAlignment="1">
      <alignment horizontal="center" wrapText="1"/>
    </xf>
    <xf numFmtId="9" fontId="6" fillId="3" borderId="1" xfId="5" applyFont="1" applyFill="1" applyBorder="1" applyAlignment="1"/>
    <xf numFmtId="164" fontId="6" fillId="3" borderId="1" xfId="5" applyNumberFormat="1" applyFont="1" applyFill="1" applyBorder="1" applyAlignment="1"/>
    <xf numFmtId="164" fontId="6" fillId="2" borderId="1" xfId="0" applyNumberFormat="1" applyFont="1" applyFill="1" applyBorder="1"/>
    <xf numFmtId="0" fontId="6" fillId="2" borderId="0" xfId="0" applyFont="1" applyFill="1" applyBorder="1"/>
    <xf numFmtId="10" fontId="6" fillId="2" borderId="1" xfId="0" applyNumberFormat="1" applyFont="1" applyFill="1" applyBorder="1"/>
    <xf numFmtId="164" fontId="6" fillId="6" borderId="1" xfId="0" applyNumberFormat="1" applyFont="1" applyFill="1" applyBorder="1"/>
    <xf numFmtId="0" fontId="6" fillId="2" borderId="14" xfId="0" applyFont="1" applyFill="1" applyBorder="1" applyAlignment="1">
      <alignment horizontal="center"/>
    </xf>
    <xf numFmtId="0" fontId="6" fillId="2" borderId="4" xfId="0" applyFont="1" applyFill="1" applyBorder="1" applyAlignment="1">
      <alignment horizontal="center"/>
    </xf>
    <xf numFmtId="164" fontId="6" fillId="2" borderId="17" xfId="0" applyNumberFormat="1" applyFont="1" applyFill="1" applyBorder="1"/>
    <xf numFmtId="0" fontId="4" fillId="2" borderId="0" xfId="0" applyFont="1" applyFill="1" applyBorder="1" applyAlignment="1">
      <alignment horizontal="left"/>
    </xf>
    <xf numFmtId="0" fontId="4" fillId="3" borderId="0" xfId="0" applyFont="1" applyFill="1" applyBorder="1" applyAlignment="1">
      <alignment horizontal="left"/>
    </xf>
    <xf numFmtId="164" fontId="4" fillId="3" borderId="1" xfId="0" applyNumberFormat="1" applyFont="1" applyFill="1" applyBorder="1" applyAlignment="1">
      <alignment horizontal="left"/>
    </xf>
    <xf numFmtId="164" fontId="6" fillId="2" borderId="0" xfId="0" applyNumberFormat="1" applyFont="1" applyFill="1"/>
    <xf numFmtId="0" fontId="6" fillId="2" borderId="0" xfId="0" applyFont="1" applyFill="1" applyBorder="1" applyAlignment="1"/>
    <xf numFmtId="0" fontId="6" fillId="2" borderId="0" xfId="0" applyFont="1" applyFill="1" applyAlignment="1"/>
    <xf numFmtId="164" fontId="6" fillId="3" borderId="22" xfId="2" applyNumberFormat="1" applyFont="1" applyFill="1" applyBorder="1"/>
    <xf numFmtId="164" fontId="6" fillId="0" borderId="22" xfId="2" applyNumberFormat="1" applyFont="1" applyFill="1" applyBorder="1"/>
    <xf numFmtId="164" fontId="4" fillId="3" borderId="44" xfId="2" applyNumberFormat="1" applyFont="1" applyFill="1" applyBorder="1" applyAlignment="1">
      <alignment horizontal="right"/>
    </xf>
    <xf numFmtId="164" fontId="4" fillId="3" borderId="45" xfId="2" applyNumberFormat="1" applyFont="1" applyFill="1" applyBorder="1" applyAlignment="1">
      <alignment horizontal="left"/>
    </xf>
    <xf numFmtId="164" fontId="6" fillId="3" borderId="39" xfId="2" applyNumberFormat="1" applyFont="1" applyFill="1" applyBorder="1" applyAlignment="1">
      <alignment horizontal="left"/>
    </xf>
    <xf numFmtId="164" fontId="6" fillId="3" borderId="38" xfId="2" applyNumberFormat="1" applyFont="1" applyFill="1" applyBorder="1" applyAlignment="1">
      <alignment horizontal="left"/>
    </xf>
    <xf numFmtId="164" fontId="6" fillId="3" borderId="46" xfId="2" applyNumberFormat="1" applyFont="1" applyFill="1" applyBorder="1"/>
    <xf numFmtId="164" fontId="6" fillId="3" borderId="34" xfId="2" applyNumberFormat="1" applyFont="1" applyFill="1" applyBorder="1" applyAlignment="1"/>
    <xf numFmtId="0" fontId="4" fillId="2" borderId="22" xfId="0" applyFont="1" applyFill="1" applyBorder="1" applyAlignment="1">
      <alignment horizontal="center" wrapText="1"/>
    </xf>
    <xf numFmtId="0" fontId="10" fillId="2" borderId="8" xfId="0" applyFont="1" applyFill="1" applyBorder="1" applyAlignment="1">
      <alignment horizontal="center"/>
    </xf>
    <xf numFmtId="0" fontId="10" fillId="2" borderId="8" xfId="0" applyFont="1" applyFill="1" applyBorder="1" applyAlignment="1">
      <alignment horizontal="center" wrapText="1"/>
    </xf>
    <xf numFmtId="0" fontId="6" fillId="0" borderId="4" xfId="0" applyFont="1" applyBorder="1" applyAlignment="1">
      <alignment horizontal="justify"/>
    </xf>
    <xf numFmtId="0" fontId="6" fillId="3" borderId="8" xfId="0" applyFont="1" applyFill="1" applyBorder="1" applyAlignment="1">
      <alignment horizontal="center"/>
    </xf>
    <xf numFmtId="0" fontId="6" fillId="3" borderId="8" xfId="0" applyFont="1" applyFill="1" applyBorder="1" applyAlignment="1">
      <alignment horizontal="center" wrapText="1"/>
    </xf>
    <xf numFmtId="164" fontId="6" fillId="0" borderId="14" xfId="2" applyNumberFormat="1" applyFont="1" applyBorder="1"/>
    <xf numFmtId="164" fontId="12" fillId="2" borderId="0" xfId="2" applyNumberFormat="1" applyFont="1" applyFill="1" applyAlignment="1"/>
    <xf numFmtId="164" fontId="12" fillId="2" borderId="0" xfId="2" applyNumberFormat="1" applyFont="1" applyFill="1" applyAlignment="1">
      <alignment horizontal="center"/>
    </xf>
    <xf numFmtId="0" fontId="17" fillId="0" borderId="0" xfId="0" applyFont="1"/>
    <xf numFmtId="164" fontId="12" fillId="2" borderId="0" xfId="2" applyNumberFormat="1" applyFont="1" applyFill="1" applyAlignment="1">
      <alignment wrapText="1"/>
    </xf>
    <xf numFmtId="164" fontId="12" fillId="2" borderId="0" xfId="2" applyNumberFormat="1" applyFont="1" applyFill="1" applyAlignment="1">
      <alignment horizontal="center" wrapText="1"/>
    </xf>
    <xf numFmtId="164" fontId="17" fillId="2" borderId="0" xfId="2" applyNumberFormat="1" applyFont="1" applyFill="1" applyAlignment="1">
      <alignment wrapText="1"/>
    </xf>
    <xf numFmtId="164" fontId="17" fillId="2" borderId="0" xfId="2" applyNumberFormat="1" applyFont="1" applyFill="1" applyAlignment="1">
      <alignment horizontal="center" wrapText="1"/>
    </xf>
    <xf numFmtId="164" fontId="17" fillId="2" borderId="13" xfId="2" applyNumberFormat="1" applyFont="1" applyFill="1" applyBorder="1" applyAlignment="1"/>
    <xf numFmtId="0" fontId="12" fillId="3" borderId="17" xfId="0" applyFont="1" applyFill="1" applyBorder="1" applyAlignment="1">
      <alignment horizontal="center"/>
    </xf>
    <xf numFmtId="10" fontId="17" fillId="2" borderId="0" xfId="5" applyNumberFormat="1" applyFont="1" applyFill="1" applyAlignment="1"/>
    <xf numFmtId="164" fontId="17" fillId="2" borderId="35" xfId="2" applyNumberFormat="1" applyFont="1" applyFill="1" applyBorder="1" applyAlignment="1"/>
    <xf numFmtId="164" fontId="17" fillId="0" borderId="1" xfId="2" applyNumberFormat="1" applyFont="1" applyBorder="1" applyAlignment="1">
      <alignment horizontal="left"/>
    </xf>
    <xf numFmtId="164" fontId="17" fillId="0" borderId="1" xfId="2" applyNumberFormat="1" applyFont="1" applyBorder="1" applyAlignment="1"/>
    <xf numFmtId="164" fontId="17" fillId="2" borderId="0" xfId="2" applyNumberFormat="1" applyFont="1" applyFill="1" applyAlignment="1">
      <alignment horizontal="left"/>
    </xf>
    <xf numFmtId="164" fontId="12" fillId="2" borderId="0" xfId="2" applyNumberFormat="1" applyFont="1" applyFill="1" applyAlignment="1">
      <alignment horizontal="left"/>
    </xf>
    <xf numFmtId="164" fontId="17" fillId="2" borderId="0" xfId="2" applyNumberFormat="1" applyFont="1" applyFill="1" applyAlignment="1"/>
    <xf numFmtId="164" fontId="12" fillId="3" borderId="0" xfId="2" applyNumberFormat="1" applyFont="1" applyFill="1" applyAlignment="1">
      <alignment horizontal="left"/>
    </xf>
    <xf numFmtId="164" fontId="17" fillId="3" borderId="0" xfId="2" applyNumberFormat="1" applyFont="1" applyFill="1" applyAlignment="1"/>
    <xf numFmtId="164" fontId="17" fillId="3" borderId="0" xfId="2" applyNumberFormat="1" applyFont="1" applyFill="1" applyAlignment="1">
      <alignment horizontal="left"/>
    </xf>
    <xf numFmtId="164" fontId="17" fillId="3" borderId="13" xfId="2" applyNumberFormat="1" applyFont="1" applyFill="1" applyBorder="1"/>
    <xf numFmtId="164" fontId="17" fillId="2" borderId="0" xfId="2" applyNumberFormat="1" applyFont="1" applyFill="1"/>
    <xf numFmtId="164" fontId="17" fillId="2" borderId="0" xfId="5" applyNumberFormat="1" applyFont="1" applyFill="1" applyAlignment="1"/>
    <xf numFmtId="164" fontId="17" fillId="3" borderId="0" xfId="2" applyNumberFormat="1" applyFont="1" applyFill="1" applyBorder="1" applyAlignment="1"/>
    <xf numFmtId="164" fontId="12" fillId="6" borderId="0" xfId="2" applyNumberFormat="1" applyFont="1" applyFill="1" applyAlignment="1">
      <alignment horizontal="left"/>
    </xf>
    <xf numFmtId="164" fontId="17" fillId="3" borderId="13" xfId="2" applyNumberFormat="1" applyFont="1" applyFill="1" applyBorder="1" applyAlignment="1"/>
    <xf numFmtId="166" fontId="12" fillId="2" borderId="1" xfId="5" applyNumberFormat="1" applyFont="1" applyFill="1" applyBorder="1" applyAlignment="1">
      <alignment horizontal="center"/>
    </xf>
    <xf numFmtId="166" fontId="12" fillId="4" borderId="13" xfId="5" applyNumberFormat="1" applyFont="1" applyFill="1" applyBorder="1" applyAlignment="1">
      <alignment horizontal="center"/>
    </xf>
    <xf numFmtId="169" fontId="17" fillId="0" borderId="1" xfId="3" applyNumberFormat="1" applyFont="1" applyFill="1" applyBorder="1"/>
    <xf numFmtId="164" fontId="17" fillId="13" borderId="0" xfId="2" applyNumberFormat="1" applyFont="1" applyFill="1" applyAlignment="1">
      <alignment horizontal="left"/>
    </xf>
    <xf numFmtId="164" fontId="17" fillId="13" borderId="0" xfId="2" applyNumberFormat="1" applyFont="1" applyFill="1" applyBorder="1" applyAlignment="1"/>
    <xf numFmtId="164" fontId="17" fillId="2" borderId="0" xfId="2" applyNumberFormat="1" applyFont="1" applyFill="1" applyBorder="1" applyAlignment="1"/>
    <xf numFmtId="0" fontId="17" fillId="2" borderId="0" xfId="0" applyFont="1" applyFill="1" applyBorder="1" applyAlignment="1">
      <alignment horizontal="left"/>
    </xf>
    <xf numFmtId="169" fontId="17" fillId="13" borderId="1" xfId="3" applyNumberFormat="1" applyFont="1" applyFill="1" applyBorder="1"/>
    <xf numFmtId="164" fontId="12" fillId="13" borderId="0" xfId="2" applyNumberFormat="1" applyFont="1" applyFill="1" applyAlignment="1">
      <alignment horizontal="left"/>
    </xf>
    <xf numFmtId="164" fontId="17" fillId="13" borderId="1" xfId="2" applyNumberFormat="1" applyFont="1" applyFill="1" applyBorder="1" applyAlignment="1">
      <alignment horizontal="left"/>
    </xf>
    <xf numFmtId="164" fontId="17" fillId="0" borderId="0" xfId="2" applyNumberFormat="1" applyFont="1" applyBorder="1" applyAlignment="1">
      <alignment horizontal="left"/>
    </xf>
    <xf numFmtId="9" fontId="18" fillId="0" borderId="2" xfId="5" applyFont="1" applyBorder="1" applyAlignment="1">
      <alignment horizontal="right"/>
    </xf>
    <xf numFmtId="164" fontId="12" fillId="3" borderId="20" xfId="2" applyNumberFormat="1" applyFont="1" applyFill="1" applyBorder="1" applyAlignment="1"/>
    <xf numFmtId="0" fontId="17" fillId="2" borderId="0" xfId="0" applyFont="1" applyFill="1" applyAlignment="1"/>
    <xf numFmtId="10" fontId="12" fillId="4" borderId="0" xfId="5" applyNumberFormat="1" applyFont="1" applyFill="1" applyAlignment="1"/>
    <xf numFmtId="0" fontId="17" fillId="2" borderId="0" xfId="0" applyFont="1" applyFill="1"/>
    <xf numFmtId="0" fontId="12" fillId="0" borderId="0" xfId="0" applyFont="1" applyAlignment="1">
      <alignment horizontal="left"/>
    </xf>
    <xf numFmtId="0" fontId="17" fillId="0" borderId="0" xfId="0" applyFont="1" applyBorder="1" applyAlignment="1">
      <alignment horizontal="left"/>
    </xf>
    <xf numFmtId="0" fontId="12" fillId="3" borderId="27" xfId="0" applyFont="1" applyFill="1" applyBorder="1" applyAlignment="1"/>
    <xf numFmtId="0" fontId="12" fillId="3" borderId="27" xfId="0" applyFont="1" applyFill="1" applyBorder="1" applyAlignment="1">
      <alignment horizontal="center"/>
    </xf>
    <xf numFmtId="0" fontId="17" fillId="2" borderId="0" xfId="0" applyFont="1" applyFill="1" applyBorder="1"/>
    <xf numFmtId="0" fontId="17" fillId="0" borderId="0" xfId="0" applyFont="1" applyBorder="1"/>
    <xf numFmtId="0" fontId="17" fillId="2" borderId="35" xfId="0" applyFont="1" applyFill="1" applyBorder="1" applyAlignment="1"/>
    <xf numFmtId="164" fontId="17" fillId="0" borderId="0" xfId="2" applyNumberFormat="1" applyFont="1"/>
    <xf numFmtId="0" fontId="17" fillId="2" borderId="2" xfId="0" applyFont="1" applyFill="1" applyBorder="1" applyAlignment="1"/>
    <xf numFmtId="0" fontId="17" fillId="3" borderId="22" xfId="0" applyFont="1" applyFill="1" applyBorder="1" applyAlignment="1"/>
    <xf numFmtId="164" fontId="17" fillId="3" borderId="1" xfId="2" applyNumberFormat="1" applyFont="1" applyFill="1" applyBorder="1"/>
    <xf numFmtId="0" fontId="12" fillId="4" borderId="23" xfId="0" applyFont="1" applyFill="1" applyBorder="1" applyAlignment="1">
      <alignment horizontal="left"/>
    </xf>
    <xf numFmtId="164" fontId="12" fillId="4" borderId="1" xfId="2" applyNumberFormat="1" applyFont="1" applyFill="1" applyBorder="1"/>
    <xf numFmtId="0" fontId="17" fillId="2" borderId="27" xfId="0" applyFont="1" applyFill="1" applyBorder="1" applyAlignment="1">
      <alignment wrapText="1"/>
    </xf>
    <xf numFmtId="164" fontId="17" fillId="0" borderId="47" xfId="2" applyNumberFormat="1" applyFont="1" applyBorder="1"/>
    <xf numFmtId="0" fontId="17" fillId="2" borderId="53" xfId="0" applyFont="1" applyFill="1" applyBorder="1" applyAlignment="1"/>
    <xf numFmtId="164" fontId="17" fillId="2" borderId="48" xfId="2" applyNumberFormat="1" applyFont="1" applyFill="1" applyBorder="1"/>
    <xf numFmtId="0" fontId="17" fillId="2" borderId="54" xfId="0" applyFont="1" applyFill="1" applyBorder="1" applyAlignment="1"/>
    <xf numFmtId="9" fontId="12" fillId="2" borderId="14" xfId="5" applyFont="1" applyFill="1" applyBorder="1" applyAlignment="1">
      <alignment horizontal="center"/>
    </xf>
    <xf numFmtId="164" fontId="17" fillId="2" borderId="47" xfId="2" applyNumberFormat="1" applyFont="1" applyFill="1" applyBorder="1"/>
    <xf numFmtId="0" fontId="12" fillId="2" borderId="21" xfId="0" applyFont="1" applyFill="1" applyBorder="1" applyAlignment="1">
      <alignment horizontal="left"/>
    </xf>
    <xf numFmtId="0" fontId="17" fillId="2" borderId="55" xfId="0" applyFont="1" applyFill="1" applyBorder="1" applyAlignment="1"/>
    <xf numFmtId="164" fontId="17" fillId="3" borderId="14" xfId="2" applyNumberFormat="1" applyFont="1" applyFill="1" applyBorder="1"/>
    <xf numFmtId="0" fontId="12" fillId="2" borderId="0" xfId="0" applyFont="1" applyFill="1" applyBorder="1" applyAlignment="1">
      <alignment horizontal="left"/>
    </xf>
    <xf numFmtId="0" fontId="12" fillId="3" borderId="51" xfId="0" applyFont="1" applyFill="1" applyBorder="1" applyAlignment="1"/>
    <xf numFmtId="0" fontId="12" fillId="3" borderId="19" xfId="0" applyFont="1" applyFill="1" applyBorder="1" applyAlignment="1">
      <alignment horizontal="center"/>
    </xf>
    <xf numFmtId="164" fontId="17" fillId="3" borderId="0" xfId="0" applyNumberFormat="1" applyFont="1" applyFill="1"/>
    <xf numFmtId="0" fontId="17" fillId="2" borderId="13" xfId="0" applyFont="1" applyFill="1" applyBorder="1"/>
    <xf numFmtId="164" fontId="17" fillId="3" borderId="49" xfId="0" applyNumberFormat="1" applyFont="1" applyFill="1" applyBorder="1"/>
    <xf numFmtId="0" fontId="12" fillId="2" borderId="13" xfId="0" applyFont="1" applyFill="1" applyBorder="1"/>
    <xf numFmtId="0" fontId="12" fillId="3" borderId="60" xfId="0" applyFont="1" applyFill="1" applyBorder="1" applyAlignment="1"/>
    <xf numFmtId="0" fontId="12" fillId="3" borderId="10" xfId="0" applyFont="1" applyFill="1" applyBorder="1" applyAlignment="1">
      <alignment horizontal="center"/>
    </xf>
    <xf numFmtId="0" fontId="12" fillId="2" borderId="0" xfId="0" applyFont="1" applyFill="1"/>
    <xf numFmtId="0" fontId="17" fillId="3" borderId="61" xfId="0" applyFont="1" applyFill="1" applyBorder="1" applyAlignment="1">
      <alignment wrapText="1"/>
    </xf>
    <xf numFmtId="0" fontId="17" fillId="2" borderId="6" xfId="0" applyFont="1" applyFill="1" applyBorder="1" applyAlignment="1">
      <alignment wrapText="1"/>
    </xf>
    <xf numFmtId="164" fontId="17" fillId="3" borderId="5" xfId="2" applyNumberFormat="1" applyFont="1" applyFill="1" applyBorder="1"/>
    <xf numFmtId="164" fontId="17" fillId="4" borderId="23" xfId="2" applyNumberFormat="1" applyFont="1" applyFill="1" applyBorder="1"/>
    <xf numFmtId="164" fontId="17" fillId="5" borderId="1" xfId="2" applyNumberFormat="1" applyFont="1" applyFill="1" applyBorder="1"/>
    <xf numFmtId="164" fontId="17" fillId="4" borderId="43" xfId="2" applyNumberFormat="1" applyFont="1" applyFill="1" applyBorder="1"/>
    <xf numFmtId="164" fontId="17" fillId="3" borderId="18" xfId="2" applyNumberFormat="1" applyFont="1" applyFill="1" applyBorder="1"/>
    <xf numFmtId="164" fontId="17" fillId="4" borderId="50" xfId="2" applyNumberFormat="1" applyFont="1" applyFill="1" applyBorder="1"/>
    <xf numFmtId="0" fontId="17" fillId="3" borderId="22" xfId="0" applyFont="1" applyFill="1" applyBorder="1" applyAlignment="1">
      <alignment wrapText="1"/>
    </xf>
    <xf numFmtId="0" fontId="12" fillId="2" borderId="6" xfId="0" applyFont="1" applyFill="1" applyBorder="1" applyAlignment="1">
      <alignment wrapText="1"/>
    </xf>
    <xf numFmtId="0" fontId="12" fillId="2" borderId="0" xfId="0" applyFont="1" applyFill="1" applyBorder="1" applyAlignment="1">
      <alignment horizontal="left" wrapText="1"/>
    </xf>
    <xf numFmtId="164" fontId="17" fillId="2" borderId="0" xfId="2" applyNumberFormat="1" applyFont="1" applyFill="1" applyBorder="1"/>
    <xf numFmtId="0" fontId="17" fillId="2" borderId="42" xfId="0" applyFont="1" applyFill="1" applyBorder="1" applyAlignment="1"/>
    <xf numFmtId="164" fontId="17" fillId="3" borderId="13" xfId="0" applyNumberFormat="1" applyFont="1" applyFill="1" applyBorder="1"/>
    <xf numFmtId="164" fontId="17" fillId="3" borderId="21" xfId="0" applyNumberFormat="1" applyFont="1" applyFill="1" applyBorder="1"/>
    <xf numFmtId="0" fontId="17" fillId="2" borderId="0" xfId="0" applyFont="1" applyFill="1" applyBorder="1" applyAlignment="1">
      <alignment wrapText="1"/>
    </xf>
    <xf numFmtId="165" fontId="12" fillId="3" borderId="49" xfId="2" applyNumberFormat="1" applyFont="1" applyFill="1" applyBorder="1"/>
    <xf numFmtId="0" fontId="17" fillId="2" borderId="0" xfId="0" applyFont="1" applyFill="1" applyBorder="1" applyAlignment="1">
      <alignment horizontal="left" wrapText="1"/>
    </xf>
    <xf numFmtId="165" fontId="17" fillId="3" borderId="0" xfId="2" applyNumberFormat="1" applyFont="1" applyFill="1" applyBorder="1"/>
    <xf numFmtId="0" fontId="12" fillId="2" borderId="0" xfId="0" applyFont="1" applyFill="1" applyAlignment="1">
      <alignment horizontal="right"/>
    </xf>
    <xf numFmtId="0" fontId="17" fillId="2" borderId="13" xfId="0" applyFont="1" applyFill="1" applyBorder="1" applyAlignment="1"/>
    <xf numFmtId="0" fontId="17" fillId="2" borderId="0" xfId="0" applyFont="1" applyFill="1" applyBorder="1" applyAlignment="1"/>
    <xf numFmtId="165" fontId="17" fillId="2" borderId="0" xfId="2" applyNumberFormat="1" applyFont="1" applyFill="1" applyBorder="1"/>
    <xf numFmtId="164" fontId="17" fillId="0" borderId="0" xfId="2" applyNumberFormat="1" applyFont="1" applyFill="1"/>
    <xf numFmtId="0" fontId="17" fillId="0" borderId="0" xfId="0" applyFont="1" applyFill="1"/>
    <xf numFmtId="169" fontId="12" fillId="13" borderId="1" xfId="3" applyNumberFormat="1" applyFont="1" applyFill="1" applyBorder="1"/>
    <xf numFmtId="164" fontId="18" fillId="2" borderId="0" xfId="2" applyNumberFormat="1" applyFont="1" applyFill="1" applyAlignment="1">
      <alignment horizontal="left"/>
    </xf>
    <xf numFmtId="164" fontId="17" fillId="14" borderId="13" xfId="2" applyNumberFormat="1" applyFont="1" applyFill="1" applyBorder="1"/>
    <xf numFmtId="164" fontId="17" fillId="15" borderId="1" xfId="2" applyNumberFormat="1" applyFont="1" applyFill="1" applyBorder="1" applyAlignment="1">
      <alignment horizontal="left"/>
    </xf>
    <xf numFmtId="164" fontId="17" fillId="0" borderId="4" xfId="2" applyNumberFormat="1" applyFont="1" applyBorder="1"/>
    <xf numFmtId="164" fontId="17" fillId="0" borderId="1" xfId="2" applyNumberFormat="1" applyFont="1" applyBorder="1"/>
    <xf numFmtId="164" fontId="17" fillId="0" borderId="1" xfId="2" applyNumberFormat="1" applyFont="1" applyFill="1" applyBorder="1"/>
    <xf numFmtId="164" fontId="17" fillId="0" borderId="14" xfId="2" applyNumberFormat="1" applyFont="1" applyBorder="1"/>
    <xf numFmtId="164" fontId="12" fillId="0" borderId="1" xfId="2" applyNumberFormat="1" applyFont="1" applyBorder="1"/>
    <xf numFmtId="164" fontId="17" fillId="0" borderId="17" xfId="2" applyNumberFormat="1" applyFont="1" applyBorder="1"/>
    <xf numFmtId="164" fontId="17" fillId="0" borderId="0" xfId="2" applyNumberFormat="1" applyFont="1" applyBorder="1"/>
    <xf numFmtId="164" fontId="12" fillId="0" borderId="0" xfId="2" applyNumberFormat="1" applyFont="1" applyBorder="1"/>
    <xf numFmtId="0" fontId="12" fillId="13" borderId="55" xfId="0" applyFont="1" applyFill="1" applyBorder="1" applyAlignment="1"/>
    <xf numFmtId="164" fontId="17" fillId="13" borderId="47" xfId="2" applyNumberFormat="1" applyFont="1" applyFill="1" applyBorder="1"/>
    <xf numFmtId="164" fontId="17" fillId="14" borderId="1" xfId="2" applyNumberFormat="1" applyFont="1" applyFill="1" applyBorder="1" applyAlignment="1">
      <alignment horizontal="left"/>
    </xf>
    <xf numFmtId="169" fontId="17" fillId="14" borderId="1" xfId="3" applyNumberFormat="1" applyFont="1" applyFill="1" applyBorder="1"/>
    <xf numFmtId="164" fontId="17" fillId="13" borderId="4" xfId="2" applyNumberFormat="1" applyFont="1" applyFill="1" applyBorder="1"/>
    <xf numFmtId="0" fontId="22" fillId="0" borderId="0" xfId="0" applyFont="1"/>
    <xf numFmtId="0" fontId="12" fillId="0" borderId="13" xfId="0" applyFont="1" applyBorder="1" applyAlignment="1"/>
    <xf numFmtId="0" fontId="12" fillId="3" borderId="51" xfId="0" applyFont="1" applyFill="1" applyBorder="1" applyAlignment="1">
      <alignment horizontal="center"/>
    </xf>
    <xf numFmtId="0" fontId="12" fillId="3" borderId="26" xfId="0" applyFont="1" applyFill="1" applyBorder="1" applyAlignment="1">
      <alignment horizontal="center"/>
    </xf>
    <xf numFmtId="0" fontId="12" fillId="3" borderId="25" xfId="0" applyFont="1" applyFill="1" applyBorder="1" applyAlignment="1">
      <alignment horizontal="center"/>
    </xf>
    <xf numFmtId="0" fontId="17" fillId="3" borderId="33" xfId="0" applyFont="1" applyFill="1" applyBorder="1"/>
    <xf numFmtId="3" fontId="17" fillId="3" borderId="45" xfId="0" applyNumberFormat="1" applyFont="1" applyFill="1" applyBorder="1" applyAlignment="1">
      <alignment horizontal="right"/>
    </xf>
    <xf numFmtId="0" fontId="17" fillId="3" borderId="0" xfId="0" applyFont="1" applyFill="1" applyBorder="1"/>
    <xf numFmtId="166" fontId="12" fillId="2" borderId="1" xfId="5" applyNumberFormat="1" applyFont="1" applyFill="1" applyBorder="1" applyAlignment="1">
      <alignment horizontal="right"/>
    </xf>
    <xf numFmtId="0" fontId="17" fillId="0" borderId="0" xfId="0" applyFont="1" applyAlignment="1">
      <alignment wrapText="1"/>
    </xf>
    <xf numFmtId="0" fontId="17" fillId="5" borderId="26" xfId="0" applyFont="1" applyFill="1" applyBorder="1" applyAlignment="1">
      <alignment horizontal="right"/>
    </xf>
    <xf numFmtId="3" fontId="17" fillId="0" borderId="28" xfId="0" applyNumberFormat="1" applyFont="1" applyBorder="1" applyAlignment="1">
      <alignment horizontal="right"/>
    </xf>
    <xf numFmtId="0" fontId="17" fillId="0" borderId="35" xfId="0" applyFont="1" applyBorder="1" applyAlignment="1">
      <alignment wrapText="1"/>
    </xf>
    <xf numFmtId="0" fontId="17" fillId="5" borderId="34" xfId="0" applyFont="1" applyFill="1" applyBorder="1" applyAlignment="1">
      <alignment horizontal="right"/>
    </xf>
    <xf numFmtId="0" fontId="17" fillId="0" borderId="1" xfId="0" applyFont="1" applyBorder="1" applyAlignment="1">
      <alignment wrapText="1"/>
    </xf>
    <xf numFmtId="3" fontId="17" fillId="0" borderId="38" xfId="0" applyNumberFormat="1" applyFont="1" applyBorder="1" applyAlignment="1">
      <alignment horizontal="right"/>
    </xf>
    <xf numFmtId="0" fontId="17" fillId="3" borderId="1" xfId="0" applyFont="1" applyFill="1" applyBorder="1" applyAlignment="1">
      <alignment wrapText="1"/>
    </xf>
    <xf numFmtId="3" fontId="17" fillId="3" borderId="1" xfId="0" applyNumberFormat="1" applyFont="1" applyFill="1" applyBorder="1" applyAlignment="1">
      <alignment horizontal="right"/>
    </xf>
    <xf numFmtId="0" fontId="17" fillId="0" borderId="1" xfId="0" applyFont="1" applyFill="1" applyBorder="1" applyAlignment="1">
      <alignment wrapText="1"/>
    </xf>
    <xf numFmtId="3" fontId="17" fillId="0" borderId="1" xfId="0" applyNumberFormat="1" applyFont="1" applyFill="1" applyBorder="1" applyAlignment="1">
      <alignment horizontal="right"/>
    </xf>
    <xf numFmtId="3" fontId="17" fillId="5" borderId="1" xfId="0" applyNumberFormat="1" applyFont="1" applyFill="1" applyBorder="1" applyAlignment="1">
      <alignment horizontal="right"/>
    </xf>
    <xf numFmtId="0" fontId="17" fillId="0" borderId="28"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xf>
    <xf numFmtId="3" fontId="17" fillId="0" borderId="34" xfId="0" applyNumberFormat="1" applyFont="1" applyBorder="1" applyAlignment="1">
      <alignment horizontal="right"/>
    </xf>
    <xf numFmtId="0" fontId="17" fillId="3" borderId="37" xfId="0" applyFont="1" applyFill="1" applyBorder="1"/>
    <xf numFmtId="3" fontId="17" fillId="3" borderId="34" xfId="0" applyNumberFormat="1" applyFont="1" applyFill="1" applyBorder="1" applyAlignment="1">
      <alignment horizontal="right"/>
    </xf>
    <xf numFmtId="0" fontId="17" fillId="0" borderId="37" xfId="0" applyFont="1" applyBorder="1"/>
    <xf numFmtId="9" fontId="17" fillId="0" borderId="13" xfId="5" applyFont="1" applyBorder="1"/>
    <xf numFmtId="9" fontId="17" fillId="0" borderId="34" xfId="0" applyNumberFormat="1" applyFont="1" applyBorder="1" applyAlignment="1">
      <alignment horizontal="right"/>
    </xf>
    <xf numFmtId="0" fontId="12" fillId="0" borderId="40" xfId="0" applyFont="1" applyBorder="1" applyAlignment="1">
      <alignment wrapText="1"/>
    </xf>
    <xf numFmtId="0" fontId="12" fillId="0" borderId="1" xfId="0" applyFont="1" applyBorder="1"/>
    <xf numFmtId="3" fontId="17" fillId="0" borderId="1" xfId="0" applyNumberFormat="1" applyFont="1" applyBorder="1" applyAlignment="1">
      <alignment horizontal="right"/>
    </xf>
    <xf numFmtId="0" fontId="12" fillId="13" borderId="1" xfId="0" applyFont="1" applyFill="1" applyBorder="1"/>
    <xf numFmtId="3" fontId="17" fillId="13" borderId="5" xfId="0" applyNumberFormat="1" applyFont="1" applyFill="1" applyBorder="1" applyAlignment="1">
      <alignment horizontal="right"/>
    </xf>
    <xf numFmtId="0" fontId="12" fillId="0" borderId="39" xfId="0" applyFont="1" applyBorder="1"/>
    <xf numFmtId="0" fontId="12" fillId="0" borderId="0" xfId="0" applyFont="1" applyBorder="1"/>
    <xf numFmtId="3" fontId="17" fillId="0" borderId="0" xfId="0" applyNumberFormat="1" applyFont="1" applyBorder="1" applyAlignment="1">
      <alignment horizontal="right"/>
    </xf>
    <xf numFmtId="0" fontId="12" fillId="0" borderId="0" xfId="0" applyFont="1" applyFill="1" applyBorder="1"/>
    <xf numFmtId="0" fontId="12" fillId="13" borderId="26" xfId="0" applyFont="1" applyFill="1" applyBorder="1" applyAlignment="1">
      <alignment vertical="top" wrapText="1"/>
    </xf>
    <xf numFmtId="0" fontId="12" fillId="13" borderId="25" xfId="0" applyFont="1" applyFill="1" applyBorder="1" applyAlignment="1">
      <alignment horizontal="center" vertical="top" wrapText="1"/>
    </xf>
    <xf numFmtId="0" fontId="17" fillId="13" borderId="0" xfId="0" applyFont="1" applyFill="1"/>
    <xf numFmtId="0" fontId="12" fillId="0" borderId="28" xfId="0" applyFont="1" applyBorder="1" applyAlignment="1">
      <alignment vertical="top" wrapText="1"/>
    </xf>
    <xf numFmtId="3" fontId="17" fillId="2" borderId="34" xfId="0" applyNumberFormat="1" applyFont="1" applyFill="1" applyBorder="1" applyAlignment="1">
      <alignment horizontal="right" vertical="top" wrapText="1"/>
    </xf>
    <xf numFmtId="164" fontId="17" fillId="0" borderId="34" xfId="2" applyNumberFormat="1" applyFont="1" applyBorder="1" applyAlignment="1">
      <alignment horizontal="right" vertical="top" wrapText="1"/>
    </xf>
    <xf numFmtId="164" fontId="17" fillId="2" borderId="34" xfId="2" applyNumberFormat="1" applyFont="1" applyFill="1" applyBorder="1" applyAlignment="1">
      <alignment horizontal="right" vertical="top" wrapText="1"/>
    </xf>
    <xf numFmtId="0" fontId="12" fillId="3" borderId="28" xfId="0" applyFont="1" applyFill="1" applyBorder="1" applyAlignment="1">
      <alignment vertical="top" wrapText="1"/>
    </xf>
    <xf numFmtId="164" fontId="17" fillId="3" borderId="34" xfId="2" applyNumberFormat="1" applyFont="1" applyFill="1" applyBorder="1" applyAlignment="1">
      <alignment horizontal="right" vertical="top" wrapText="1"/>
    </xf>
    <xf numFmtId="0" fontId="12" fillId="0" borderId="36" xfId="0" applyFont="1" applyBorder="1" applyAlignment="1">
      <alignment vertical="top" wrapText="1"/>
    </xf>
    <xf numFmtId="164" fontId="17" fillId="2" borderId="38" xfId="2" applyNumberFormat="1" applyFont="1" applyFill="1" applyBorder="1" applyAlignment="1">
      <alignment horizontal="right" vertical="top" wrapText="1"/>
    </xf>
    <xf numFmtId="0" fontId="12" fillId="0" borderId="1" xfId="0" applyFont="1" applyFill="1" applyBorder="1" applyAlignment="1">
      <alignment vertical="top" wrapText="1"/>
    </xf>
    <xf numFmtId="0" fontId="17" fillId="0" borderId="1" xfId="0" applyFont="1" applyFill="1" applyBorder="1" applyAlignment="1">
      <alignment vertical="top" wrapText="1"/>
    </xf>
    <xf numFmtId="0" fontId="12" fillId="3" borderId="1" xfId="0" applyFont="1" applyFill="1" applyBorder="1" applyAlignment="1">
      <alignment vertical="top" wrapText="1"/>
    </xf>
    <xf numFmtId="0" fontId="12" fillId="0" borderId="0" xfId="0" applyFont="1" applyFill="1" applyBorder="1" applyAlignment="1">
      <alignment vertical="top"/>
    </xf>
    <xf numFmtId="0" fontId="17" fillId="0" borderId="0" xfId="0" applyFont="1" applyFill="1" applyBorder="1" applyAlignment="1">
      <alignment vertical="top" wrapText="1"/>
    </xf>
    <xf numFmtId="0" fontId="17" fillId="8" borderId="26" xfId="0" applyFont="1" applyFill="1" applyBorder="1" applyAlignment="1">
      <alignment vertical="top" wrapText="1"/>
    </xf>
    <xf numFmtId="0" fontId="12" fillId="8" borderId="25" xfId="0" applyFont="1" applyFill="1" applyBorder="1" applyAlignment="1">
      <alignment horizontal="center" vertical="top" wrapText="1"/>
    </xf>
    <xf numFmtId="0" fontId="17" fillId="0" borderId="28" xfId="0" applyFont="1" applyBorder="1" applyAlignment="1">
      <alignment vertical="top" wrapText="1"/>
    </xf>
    <xf numFmtId="0" fontId="17" fillId="0" borderId="34" xfId="0" applyFont="1" applyBorder="1" applyAlignment="1">
      <alignment vertical="top" wrapText="1"/>
    </xf>
    <xf numFmtId="9" fontId="17" fillId="0" borderId="34" xfId="5" applyFont="1" applyBorder="1" applyAlignment="1">
      <alignment vertical="top" wrapText="1"/>
    </xf>
    <xf numFmtId="9" fontId="17" fillId="0" borderId="34" xfId="0" applyNumberFormat="1" applyFont="1" applyBorder="1" applyAlignment="1">
      <alignment horizontal="right" vertical="top" wrapText="1"/>
    </xf>
    <xf numFmtId="0" fontId="12" fillId="2" borderId="1" xfId="0" applyFont="1" applyFill="1" applyBorder="1" applyAlignment="1">
      <alignment horizontal="center"/>
    </xf>
    <xf numFmtId="0" fontId="17" fillId="0" borderId="1" xfId="0" applyFont="1" applyBorder="1"/>
    <xf numFmtId="9" fontId="17" fillId="0" borderId="1" xfId="5" applyFont="1" applyBorder="1"/>
    <xf numFmtId="165" fontId="17" fillId="0" borderId="1" xfId="2" applyNumberFormat="1" applyFont="1" applyBorder="1"/>
    <xf numFmtId="0" fontId="12" fillId="0" borderId="0" xfId="0" applyFont="1"/>
    <xf numFmtId="0" fontId="17" fillId="5" borderId="1" xfId="0" applyFont="1" applyFill="1" applyBorder="1"/>
    <xf numFmtId="0" fontId="17" fillId="0" borderId="1" xfId="0" applyFont="1" applyFill="1" applyBorder="1"/>
    <xf numFmtId="0" fontId="12" fillId="2" borderId="10" xfId="0" applyFont="1" applyFill="1" applyBorder="1" applyAlignment="1">
      <alignment horizontal="center"/>
    </xf>
    <xf numFmtId="0" fontId="12" fillId="2" borderId="24" xfId="0" applyFont="1" applyFill="1" applyBorder="1" applyAlignment="1">
      <alignment horizontal="center"/>
    </xf>
    <xf numFmtId="0" fontId="12" fillId="2" borderId="24" xfId="0" applyFont="1" applyFill="1" applyBorder="1" applyAlignment="1">
      <alignment horizontal="center" vertical="top" wrapText="1"/>
    </xf>
    <xf numFmtId="0" fontId="17" fillId="2" borderId="15" xfId="0" applyFont="1" applyFill="1" applyBorder="1"/>
    <xf numFmtId="164" fontId="17" fillId="3" borderId="15" xfId="2" applyNumberFormat="1" applyFont="1" applyFill="1" applyBorder="1"/>
    <xf numFmtId="0" fontId="17" fillId="2" borderId="22" xfId="0" applyFont="1" applyFill="1" applyBorder="1"/>
    <xf numFmtId="164" fontId="17" fillId="3" borderId="22" xfId="2" applyNumberFormat="1" applyFont="1" applyFill="1" applyBorder="1"/>
    <xf numFmtId="0" fontId="12" fillId="2" borderId="22" xfId="0" applyFont="1" applyFill="1" applyBorder="1" applyAlignment="1"/>
    <xf numFmtId="0" fontId="12" fillId="2" borderId="6" xfId="0" applyFont="1" applyFill="1" applyBorder="1" applyAlignment="1"/>
    <xf numFmtId="164" fontId="17" fillId="2" borderId="6" xfId="2" applyNumberFormat="1" applyFont="1" applyFill="1" applyBorder="1" applyAlignment="1">
      <alignment horizontal="right"/>
    </xf>
    <xf numFmtId="164" fontId="17" fillId="2" borderId="6" xfId="2" applyNumberFormat="1" applyFont="1" applyFill="1" applyBorder="1" applyAlignment="1">
      <alignment horizontal="right" vertical="top" wrapText="1"/>
    </xf>
    <xf numFmtId="0" fontId="17" fillId="2" borderId="4" xfId="0" applyFont="1" applyFill="1" applyBorder="1"/>
    <xf numFmtId="0" fontId="17" fillId="0" borderId="8" xfId="0" applyFont="1" applyBorder="1"/>
    <xf numFmtId="164" fontId="17" fillId="0" borderId="8" xfId="2" applyNumberFormat="1" applyFont="1" applyBorder="1" applyAlignment="1">
      <alignment horizontal="right"/>
    </xf>
    <xf numFmtId="164" fontId="17" fillId="0" borderId="8" xfId="2" applyNumberFormat="1" applyFont="1" applyBorder="1" applyAlignment="1">
      <alignment horizontal="right" vertical="top" wrapText="1"/>
    </xf>
    <xf numFmtId="0" fontId="17" fillId="2" borderId="14" xfId="0" applyFont="1" applyFill="1" applyBorder="1"/>
    <xf numFmtId="0" fontId="17" fillId="0" borderId="18" xfId="0" applyFont="1" applyBorder="1"/>
    <xf numFmtId="164" fontId="17" fillId="0" borderId="18" xfId="2" applyNumberFormat="1" applyFont="1" applyBorder="1" applyAlignment="1">
      <alignment horizontal="right"/>
    </xf>
    <xf numFmtId="164" fontId="17" fillId="0" borderId="18" xfId="2" applyNumberFormat="1" applyFont="1" applyBorder="1" applyAlignment="1">
      <alignment horizontal="right" vertical="top" wrapText="1"/>
    </xf>
    <xf numFmtId="0" fontId="23" fillId="3" borderId="15" xfId="0" applyFont="1" applyFill="1" applyBorder="1"/>
    <xf numFmtId="164" fontId="12" fillId="3" borderId="4" xfId="2" applyNumberFormat="1" applyFont="1" applyFill="1" applyBorder="1" applyAlignment="1">
      <alignment horizontal="right"/>
    </xf>
    <xf numFmtId="0" fontId="12" fillId="2" borderId="15" xfId="0" applyFont="1" applyFill="1" applyBorder="1"/>
    <xf numFmtId="164" fontId="17" fillId="6" borderId="4" xfId="2" applyNumberFormat="1" applyFont="1" applyFill="1" applyBorder="1" applyAlignment="1">
      <alignment horizontal="right"/>
    </xf>
    <xf numFmtId="0" fontId="12" fillId="2" borderId="27" xfId="0" applyFont="1" applyFill="1" applyBorder="1"/>
    <xf numFmtId="164" fontId="17" fillId="6" borderId="14" xfId="2" applyNumberFormat="1" applyFont="1" applyFill="1" applyBorder="1" applyAlignment="1">
      <alignment horizontal="right"/>
    </xf>
    <xf numFmtId="0" fontId="12" fillId="2" borderId="4" xfId="0" applyFont="1" applyFill="1" applyBorder="1"/>
    <xf numFmtId="164" fontId="12" fillId="2" borderId="8" xfId="2" applyNumberFormat="1" applyFont="1" applyFill="1" applyBorder="1" applyAlignment="1">
      <alignment horizontal="right"/>
    </xf>
    <xf numFmtId="164" fontId="17" fillId="2" borderId="8" xfId="2" applyNumberFormat="1" applyFont="1" applyFill="1" applyBorder="1" applyAlignment="1">
      <alignment horizontal="right"/>
    </xf>
    <xf numFmtId="0" fontId="17" fillId="2" borderId="4" xfId="0" applyFont="1" applyFill="1" applyBorder="1" applyAlignment="1">
      <alignment wrapText="1"/>
    </xf>
    <xf numFmtId="0" fontId="17" fillId="0" borderId="8" xfId="0" applyFont="1" applyBorder="1" applyAlignment="1">
      <alignment wrapText="1"/>
    </xf>
    <xf numFmtId="164" fontId="17" fillId="0" borderId="0" xfId="0" applyNumberFormat="1" applyFont="1"/>
    <xf numFmtId="0" fontId="17" fillId="3" borderId="4" xfId="0" applyFont="1" applyFill="1" applyBorder="1"/>
    <xf numFmtId="164" fontId="17" fillId="13" borderId="8" xfId="2" applyNumberFormat="1" applyFont="1" applyFill="1" applyBorder="1" applyAlignment="1"/>
    <xf numFmtId="164" fontId="17" fillId="3" borderId="8" xfId="2" applyNumberFormat="1" applyFont="1" applyFill="1" applyBorder="1" applyAlignment="1"/>
    <xf numFmtId="164" fontId="17" fillId="3" borderId="8" xfId="2" applyNumberFormat="1" applyFont="1" applyFill="1" applyBorder="1" applyAlignment="1">
      <alignment vertical="top" wrapText="1"/>
    </xf>
    <xf numFmtId="164" fontId="17" fillId="2" borderId="8" xfId="2" applyNumberFormat="1" applyFont="1" applyFill="1" applyBorder="1" applyAlignment="1"/>
    <xf numFmtId="0" fontId="17" fillId="2" borderId="1" xfId="0" applyFont="1" applyFill="1" applyBorder="1"/>
    <xf numFmtId="164" fontId="12" fillId="2" borderId="1" xfId="2" applyNumberFormat="1" applyFont="1" applyFill="1" applyBorder="1" applyAlignment="1"/>
    <xf numFmtId="0" fontId="12" fillId="3" borderId="0" xfId="0" applyFont="1" applyFill="1"/>
    <xf numFmtId="3" fontId="17" fillId="3" borderId="0" xfId="0" applyNumberFormat="1" applyFont="1" applyFill="1"/>
    <xf numFmtId="0" fontId="17" fillId="3" borderId="0" xfId="0" applyFont="1" applyFill="1"/>
    <xf numFmtId="0" fontId="24" fillId="3" borderId="0" xfId="0" applyFont="1" applyFill="1"/>
    <xf numFmtId="0" fontId="12" fillId="2" borderId="14" xfId="0" applyFont="1" applyFill="1" applyBorder="1" applyAlignment="1">
      <alignment horizontal="center"/>
    </xf>
    <xf numFmtId="0" fontId="12" fillId="2" borderId="18" xfId="0" applyFont="1" applyFill="1" applyBorder="1" applyAlignment="1">
      <alignment horizontal="center" vertical="top" wrapText="1"/>
    </xf>
    <xf numFmtId="0" fontId="17" fillId="2" borderId="4" xfId="0" applyFont="1" applyFill="1" applyBorder="1" applyAlignment="1"/>
    <xf numFmtId="0" fontId="17" fillId="2" borderId="8" xfId="0" applyFont="1" applyFill="1" applyBorder="1" applyAlignment="1"/>
    <xf numFmtId="164" fontId="17" fillId="0" borderId="8" xfId="2" applyNumberFormat="1" applyFont="1" applyFill="1" applyBorder="1"/>
    <xf numFmtId="164" fontId="17" fillId="0" borderId="8" xfId="2" applyNumberFormat="1" applyFont="1" applyFill="1" applyBorder="1" applyAlignment="1">
      <alignment horizontal="right"/>
    </xf>
    <xf numFmtId="164" fontId="17" fillId="0" borderId="8" xfId="2" applyNumberFormat="1" applyFont="1" applyFill="1" applyBorder="1" applyAlignment="1">
      <alignment horizontal="right" vertical="top" wrapText="1"/>
    </xf>
    <xf numFmtId="164" fontId="12" fillId="0" borderId="8" xfId="2" applyNumberFormat="1" applyFont="1" applyFill="1" applyBorder="1" applyAlignment="1">
      <alignment horizontal="right" vertical="top" wrapText="1"/>
    </xf>
    <xf numFmtId="0" fontId="17" fillId="2" borderId="1" xfId="0" applyFont="1" applyFill="1" applyBorder="1" applyAlignment="1">
      <alignment horizontal="left" wrapText="1"/>
    </xf>
    <xf numFmtId="0" fontId="17" fillId="2" borderId="8" xfId="0" applyFont="1" applyFill="1" applyBorder="1" applyAlignment="1">
      <alignment horizontal="left" wrapText="1"/>
    </xf>
    <xf numFmtId="164" fontId="12" fillId="0" borderId="8" xfId="2" applyNumberFormat="1" applyFont="1" applyFill="1" applyBorder="1" applyAlignment="1">
      <alignment horizontal="right"/>
    </xf>
    <xf numFmtId="164" fontId="17" fillId="2" borderId="8" xfId="2" applyNumberFormat="1" applyFont="1" applyFill="1" applyBorder="1"/>
    <xf numFmtId="164" fontId="17" fillId="5" borderId="8" xfId="2" applyNumberFormat="1" applyFont="1" applyFill="1" applyBorder="1" applyAlignment="1">
      <alignment wrapText="1"/>
    </xf>
    <xf numFmtId="164" fontId="17" fillId="5" borderId="8" xfId="2" applyNumberFormat="1" applyFont="1" applyFill="1" applyBorder="1" applyAlignment="1">
      <alignment horizontal="right" vertical="top" wrapText="1"/>
    </xf>
    <xf numFmtId="0" fontId="17" fillId="2" borderId="8" xfId="0" applyFont="1" applyFill="1" applyBorder="1" applyAlignment="1">
      <alignment wrapText="1"/>
    </xf>
    <xf numFmtId="164" fontId="17" fillId="0" borderId="8" xfId="2" applyNumberFormat="1" applyFont="1" applyFill="1" applyBorder="1" applyAlignment="1">
      <alignment wrapText="1"/>
    </xf>
    <xf numFmtId="164" fontId="17" fillId="5" borderId="8" xfId="2" applyNumberFormat="1" applyFont="1" applyFill="1" applyBorder="1"/>
    <xf numFmtId="164" fontId="12" fillId="5" borderId="8" xfId="2" applyNumberFormat="1" applyFont="1" applyFill="1" applyBorder="1" applyAlignment="1">
      <alignment horizontal="right"/>
    </xf>
    <xf numFmtId="164" fontId="12" fillId="5" borderId="8" xfId="2" applyNumberFormat="1" applyFont="1" applyFill="1" applyBorder="1" applyAlignment="1">
      <alignment horizontal="right" vertical="top" wrapText="1"/>
    </xf>
    <xf numFmtId="0" fontId="17" fillId="0" borderId="4" xfId="0" applyFont="1" applyBorder="1" applyAlignment="1">
      <alignment wrapText="1"/>
    </xf>
    <xf numFmtId="0" fontId="17" fillId="0" borderId="14" xfId="0" applyFont="1" applyBorder="1" applyAlignment="1">
      <alignment wrapText="1"/>
    </xf>
    <xf numFmtId="0" fontId="17" fillId="0" borderId="18" xfId="0" applyFont="1" applyBorder="1" applyAlignment="1">
      <alignment wrapText="1"/>
    </xf>
    <xf numFmtId="164" fontId="17" fillId="0" borderId="18" xfId="2" applyNumberFormat="1" applyFont="1" applyFill="1" applyBorder="1"/>
    <xf numFmtId="164" fontId="12" fillId="0" borderId="18" xfId="2" applyNumberFormat="1" applyFont="1" applyFill="1" applyBorder="1" applyAlignment="1">
      <alignment horizontal="right"/>
    </xf>
    <xf numFmtId="164" fontId="12" fillId="0" borderId="18" xfId="2" applyNumberFormat="1" applyFont="1" applyFill="1" applyBorder="1" applyAlignment="1">
      <alignment horizontal="right" vertical="top" wrapText="1"/>
    </xf>
    <xf numFmtId="0" fontId="17" fillId="2" borderId="9" xfId="0" applyFont="1" applyFill="1" applyBorder="1" applyAlignment="1"/>
    <xf numFmtId="164" fontId="12" fillId="2" borderId="24" xfId="2" applyNumberFormat="1" applyFont="1" applyFill="1" applyBorder="1" applyAlignment="1">
      <alignment horizontal="right"/>
    </xf>
    <xf numFmtId="164" fontId="12" fillId="2" borderId="25" xfId="2" applyNumberFormat="1" applyFont="1" applyFill="1" applyBorder="1" applyAlignment="1">
      <alignment horizontal="right"/>
    </xf>
    <xf numFmtId="0" fontId="25" fillId="3" borderId="0" xfId="0" applyFont="1" applyFill="1" applyAlignment="1">
      <alignment horizontal="center"/>
    </xf>
    <xf numFmtId="0" fontId="12" fillId="3" borderId="13" xfId="0" applyFont="1" applyFill="1" applyBorder="1"/>
    <xf numFmtId="0" fontId="24" fillId="3" borderId="13" xfId="0" applyFont="1" applyFill="1" applyBorder="1"/>
    <xf numFmtId="0" fontId="17" fillId="3" borderId="13" xfId="0" applyFont="1" applyFill="1" applyBorder="1"/>
    <xf numFmtId="164" fontId="17" fillId="3" borderId="4" xfId="2" applyNumberFormat="1" applyFont="1" applyFill="1" applyBorder="1"/>
    <xf numFmtId="164" fontId="17" fillId="5" borderId="4" xfId="2" applyNumberFormat="1" applyFont="1" applyFill="1" applyBorder="1"/>
    <xf numFmtId="164" fontId="17" fillId="5" borderId="4" xfId="2" applyNumberFormat="1" applyFont="1" applyFill="1" applyBorder="1" applyAlignment="1">
      <alignment horizontal="right"/>
    </xf>
    <xf numFmtId="164" fontId="17" fillId="2" borderId="4" xfId="2" applyNumberFormat="1" applyFont="1" applyFill="1" applyBorder="1" applyAlignment="1">
      <alignment horizontal="right" vertical="top" wrapText="1"/>
    </xf>
    <xf numFmtId="164" fontId="17" fillId="3" borderId="0" xfId="2" applyNumberFormat="1" applyFont="1" applyFill="1"/>
    <xf numFmtId="0" fontId="17" fillId="3" borderId="1" xfId="0" applyFont="1" applyFill="1" applyBorder="1"/>
    <xf numFmtId="164" fontId="17" fillId="2" borderId="1" xfId="2" applyNumberFormat="1" applyFont="1" applyFill="1" applyBorder="1" applyAlignment="1">
      <alignment horizontal="right"/>
    </xf>
    <xf numFmtId="164" fontId="17" fillId="2" borderId="1" xfId="2" applyNumberFormat="1" applyFont="1" applyFill="1" applyBorder="1" applyAlignment="1">
      <alignment horizontal="right" vertical="top" wrapText="1"/>
    </xf>
    <xf numFmtId="164" fontId="17" fillId="0" borderId="1" xfId="2" applyNumberFormat="1" applyFont="1" applyFill="1" applyBorder="1" applyAlignment="1">
      <alignment horizontal="right"/>
    </xf>
    <xf numFmtId="164" fontId="17" fillId="0" borderId="1" xfId="2" applyNumberFormat="1" applyFont="1" applyFill="1" applyBorder="1" applyAlignment="1">
      <alignment horizontal="right" vertical="top" wrapText="1"/>
    </xf>
    <xf numFmtId="164" fontId="12" fillId="0" borderId="1" xfId="2" applyNumberFormat="1" applyFont="1" applyFill="1" applyBorder="1" applyAlignment="1">
      <alignment horizontal="right"/>
    </xf>
    <xf numFmtId="164" fontId="17" fillId="3" borderId="1" xfId="2" applyNumberFormat="1" applyFont="1" applyFill="1" applyBorder="1" applyAlignment="1">
      <alignment wrapText="1"/>
    </xf>
    <xf numFmtId="164" fontId="17" fillId="2" borderId="1" xfId="2" applyNumberFormat="1" applyFont="1" applyFill="1" applyBorder="1"/>
    <xf numFmtId="0" fontId="18" fillId="3" borderId="1" xfId="0" applyFont="1" applyFill="1" applyBorder="1"/>
    <xf numFmtId="164" fontId="17" fillId="0" borderId="1" xfId="2" applyNumberFormat="1" applyFont="1" applyFill="1" applyBorder="1" applyAlignment="1">
      <alignment wrapText="1"/>
    </xf>
    <xf numFmtId="0" fontId="17" fillId="3" borderId="1" xfId="0" applyFont="1" applyFill="1" applyBorder="1" applyAlignment="1">
      <alignment horizontal="left" wrapText="1"/>
    </xf>
    <xf numFmtId="164" fontId="17" fillId="3" borderId="1" xfId="2" applyNumberFormat="1" applyFont="1" applyFill="1" applyBorder="1" applyAlignment="1">
      <alignment horizontal="left" wrapText="1"/>
    </xf>
    <xf numFmtId="0" fontId="17" fillId="0" borderId="17" xfId="0" applyFont="1" applyBorder="1" applyAlignment="1">
      <alignment wrapText="1"/>
    </xf>
    <xf numFmtId="164" fontId="17" fillId="0" borderId="17" xfId="2" applyNumberFormat="1" applyFont="1" applyBorder="1" applyAlignment="1">
      <alignment wrapText="1"/>
    </xf>
    <xf numFmtId="164" fontId="17" fillId="0" borderId="17" xfId="2" applyNumberFormat="1" applyFont="1" applyFill="1" applyBorder="1" applyAlignment="1">
      <alignment wrapText="1"/>
    </xf>
    <xf numFmtId="164" fontId="17" fillId="0" borderId="17" xfId="2" applyNumberFormat="1" applyFont="1" applyFill="1" applyBorder="1" applyAlignment="1">
      <alignment horizontal="right"/>
    </xf>
    <xf numFmtId="164" fontId="17" fillId="0" borderId="17" xfId="2" applyNumberFormat="1" applyFont="1" applyFill="1" applyBorder="1" applyAlignment="1">
      <alignment horizontal="right" vertical="top" wrapText="1"/>
    </xf>
    <xf numFmtId="0" fontId="17" fillId="2" borderId="9" xfId="0" applyFont="1" applyFill="1" applyBorder="1"/>
    <xf numFmtId="164" fontId="12" fillId="2" borderId="10" xfId="2" applyNumberFormat="1" applyFont="1" applyFill="1" applyBorder="1" applyAlignment="1">
      <alignment horizontal="right"/>
    </xf>
    <xf numFmtId="164" fontId="12" fillId="2" borderId="19" xfId="2" applyNumberFormat="1" applyFont="1" applyFill="1" applyBorder="1" applyAlignment="1">
      <alignment horizontal="right"/>
    </xf>
    <xf numFmtId="0" fontId="12" fillId="2" borderId="17" xfId="0" applyFont="1" applyFill="1" applyBorder="1" applyAlignment="1">
      <alignment horizontal="center"/>
    </xf>
    <xf numFmtId="0" fontId="12" fillId="2" borderId="23" xfId="0" applyFont="1" applyFill="1" applyBorder="1" applyAlignment="1">
      <alignment horizontal="center" vertical="top" wrapText="1"/>
    </xf>
    <xf numFmtId="164" fontId="17" fillId="7" borderId="1" xfId="2" applyNumberFormat="1" applyFont="1" applyFill="1" applyBorder="1" applyAlignment="1">
      <alignment horizontal="right"/>
    </xf>
    <xf numFmtId="164" fontId="17" fillId="7" borderId="1" xfId="2" applyNumberFormat="1" applyFont="1" applyFill="1" applyBorder="1" applyAlignment="1">
      <alignment horizontal="right" vertical="top" wrapText="1"/>
    </xf>
    <xf numFmtId="164" fontId="17" fillId="0" borderId="1" xfId="2" applyNumberFormat="1" applyFont="1" applyFill="1" applyBorder="1" applyAlignment="1">
      <alignment horizontal="right" wrapText="1"/>
    </xf>
    <xf numFmtId="164" fontId="12" fillId="5" borderId="1" xfId="2" applyNumberFormat="1" applyFont="1" applyFill="1" applyBorder="1" applyAlignment="1">
      <alignment horizontal="right"/>
    </xf>
    <xf numFmtId="164" fontId="17" fillId="5" borderId="1" xfId="2" applyNumberFormat="1" applyFont="1" applyFill="1" applyBorder="1" applyAlignment="1">
      <alignment horizontal="right" vertical="top" wrapText="1"/>
    </xf>
    <xf numFmtId="164" fontId="17" fillId="5" borderId="1" xfId="2" applyNumberFormat="1" applyFont="1" applyFill="1" applyBorder="1" applyAlignment="1">
      <alignment horizontal="right"/>
    </xf>
    <xf numFmtId="164" fontId="17" fillId="2" borderId="9" xfId="2" applyNumberFormat="1" applyFont="1" applyFill="1" applyBorder="1"/>
    <xf numFmtId="0" fontId="26" fillId="2" borderId="1" xfId="0" applyFont="1" applyFill="1" applyBorder="1" applyAlignment="1">
      <alignment horizontal="center"/>
    </xf>
    <xf numFmtId="0" fontId="12" fillId="2" borderId="5" xfId="0" applyFont="1" applyFill="1" applyBorder="1" applyAlignment="1">
      <alignment horizontal="center" vertical="top" wrapText="1"/>
    </xf>
    <xf numFmtId="164" fontId="17" fillId="0" borderId="1" xfId="2" applyNumberFormat="1" applyFont="1" applyBorder="1" applyAlignment="1">
      <alignment horizontal="right"/>
    </xf>
    <xf numFmtId="164" fontId="17" fillId="0" borderId="1" xfId="2" applyNumberFormat="1" applyFont="1" applyBorder="1" applyAlignment="1">
      <alignment horizontal="right" vertical="top" wrapText="1"/>
    </xf>
    <xf numFmtId="0" fontId="17" fillId="0" borderId="17" xfId="0" applyFont="1" applyBorder="1"/>
    <xf numFmtId="164" fontId="17" fillId="0" borderId="17" xfId="2" applyNumberFormat="1" applyFont="1" applyBorder="1" applyAlignment="1">
      <alignment horizontal="right"/>
    </xf>
    <xf numFmtId="164" fontId="17" fillId="0" borderId="17" xfId="2" applyNumberFormat="1" applyFont="1" applyBorder="1" applyAlignment="1">
      <alignment horizontal="right" vertical="top" wrapText="1"/>
    </xf>
    <xf numFmtId="164" fontId="17" fillId="2" borderId="10" xfId="2" applyNumberFormat="1" applyFont="1" applyFill="1" applyBorder="1"/>
    <xf numFmtId="164" fontId="17" fillId="2" borderId="19" xfId="2" applyNumberFormat="1" applyFont="1" applyFill="1" applyBorder="1"/>
    <xf numFmtId="0" fontId="12" fillId="6" borderId="14" xfId="0" applyFont="1" applyFill="1" applyBorder="1" applyAlignment="1">
      <alignment horizontal="center"/>
    </xf>
    <xf numFmtId="17" fontId="12" fillId="3" borderId="14" xfId="0" applyNumberFormat="1" applyFont="1" applyFill="1" applyBorder="1" applyAlignment="1">
      <alignment horizontal="center"/>
    </xf>
    <xf numFmtId="17" fontId="17" fillId="6" borderId="4" xfId="0" applyNumberFormat="1" applyFont="1" applyFill="1" applyBorder="1"/>
    <xf numFmtId="17" fontId="17" fillId="6" borderId="1" xfId="0" applyNumberFormat="1" applyFont="1" applyFill="1" applyBorder="1"/>
    <xf numFmtId="17" fontId="17" fillId="6" borderId="0" xfId="0" applyNumberFormat="1" applyFont="1" applyFill="1" applyBorder="1"/>
    <xf numFmtId="164" fontId="12" fillId="6" borderId="0" xfId="2" applyNumberFormat="1" applyFont="1" applyFill="1" applyBorder="1"/>
    <xf numFmtId="164" fontId="17" fillId="6" borderId="0" xfId="2" applyNumberFormat="1" applyFont="1" applyFill="1" applyBorder="1"/>
    <xf numFmtId="164" fontId="17" fillId="6" borderId="0" xfId="2" applyNumberFormat="1" applyFont="1" applyFill="1"/>
    <xf numFmtId="17" fontId="12" fillId="0" borderId="0" xfId="0" applyNumberFormat="1" applyFont="1" applyBorder="1"/>
    <xf numFmtId="17" fontId="12" fillId="3" borderId="17" xfId="0" applyNumberFormat="1" applyFont="1" applyFill="1" applyBorder="1" applyAlignment="1">
      <alignment horizontal="center"/>
    </xf>
    <xf numFmtId="164" fontId="17" fillId="6" borderId="1" xfId="2" applyNumberFormat="1" applyFont="1" applyFill="1" applyBorder="1"/>
    <xf numFmtId="164" fontId="12" fillId="6" borderId="1" xfId="2" applyNumberFormat="1" applyFont="1" applyFill="1" applyBorder="1"/>
    <xf numFmtId="17" fontId="12" fillId="0" borderId="0" xfId="0" applyNumberFormat="1" applyFont="1"/>
    <xf numFmtId="0" fontId="12" fillId="3" borderId="1" xfId="0" applyFont="1" applyFill="1" applyBorder="1" applyAlignment="1">
      <alignment horizontal="center"/>
    </xf>
    <xf numFmtId="164" fontId="12" fillId="3" borderId="1" xfId="2" applyNumberFormat="1" applyFont="1" applyFill="1" applyBorder="1"/>
    <xf numFmtId="0" fontId="17" fillId="0" borderId="0" xfId="0" applyFont="1" applyAlignment="1"/>
    <xf numFmtId="3" fontId="17" fillId="0" borderId="1" xfId="0" applyNumberFormat="1" applyFont="1" applyBorder="1"/>
    <xf numFmtId="0" fontId="17" fillId="0" borderId="14" xfId="0" applyFont="1" applyFill="1" applyBorder="1" applyAlignment="1">
      <alignment wrapText="1"/>
    </xf>
    <xf numFmtId="0" fontId="17" fillId="0" borderId="4" xfId="0" applyFont="1" applyFill="1" applyBorder="1" applyAlignment="1">
      <alignment wrapText="1"/>
    </xf>
    <xf numFmtId="0" fontId="17" fillId="0" borderId="0" xfId="0" applyFont="1" applyFill="1" applyBorder="1" applyAlignment="1">
      <alignment wrapText="1"/>
    </xf>
    <xf numFmtId="0" fontId="12" fillId="0" borderId="0" xfId="0" applyFont="1" applyAlignment="1">
      <alignment horizontal="left" wrapText="1"/>
    </xf>
    <xf numFmtId="0" fontId="12" fillId="0" borderId="0" xfId="0" applyFont="1" applyAlignment="1"/>
    <xf numFmtId="0" fontId="12" fillId="0" borderId="0" xfId="0" applyFont="1" applyAlignment="1">
      <alignment wrapText="1"/>
    </xf>
    <xf numFmtId="0" fontId="17" fillId="0" borderId="0" xfId="0" applyFont="1" applyAlignment="1">
      <alignment horizontal="left" wrapText="1"/>
    </xf>
    <xf numFmtId="0" fontId="27" fillId="2" borderId="1" xfId="0" applyFont="1" applyFill="1" applyBorder="1"/>
    <xf numFmtId="165" fontId="27" fillId="2" borderId="1" xfId="2" applyNumberFormat="1" applyFont="1" applyFill="1" applyBorder="1"/>
    <xf numFmtId="0" fontId="17" fillId="0" borderId="14" xfId="0" applyFont="1" applyFill="1" applyBorder="1"/>
    <xf numFmtId="165" fontId="17" fillId="0" borderId="14" xfId="2" applyNumberFormat="1" applyFont="1" applyBorder="1"/>
    <xf numFmtId="0" fontId="17" fillId="0" borderId="56" xfId="0" applyFont="1" applyFill="1" applyBorder="1"/>
    <xf numFmtId="164" fontId="17" fillId="0" borderId="48" xfId="2" applyNumberFormat="1" applyFont="1" applyBorder="1"/>
    <xf numFmtId="164" fontId="17" fillId="0" borderId="57" xfId="2" applyNumberFormat="1" applyFont="1" applyBorder="1"/>
    <xf numFmtId="0" fontId="17" fillId="0" borderId="32" xfId="0" applyFont="1" applyFill="1" applyBorder="1"/>
    <xf numFmtId="0" fontId="17" fillId="0" borderId="18" xfId="0" applyFont="1" applyFill="1" applyBorder="1"/>
    <xf numFmtId="164" fontId="17" fillId="0" borderId="12" xfId="2" applyNumberFormat="1" applyFont="1" applyBorder="1"/>
    <xf numFmtId="0" fontId="28" fillId="0" borderId="0" xfId="0" applyFont="1"/>
    <xf numFmtId="0" fontId="21" fillId="0" borderId="0" xfId="0" applyFont="1"/>
    <xf numFmtId="0" fontId="20" fillId="0" borderId="0" xfId="0" applyFont="1"/>
    <xf numFmtId="0" fontId="21" fillId="17" borderId="1" xfId="0" applyFont="1" applyFill="1" applyBorder="1" applyAlignment="1">
      <alignment horizontal="center" vertical="center" wrapText="1"/>
    </xf>
    <xf numFmtId="0" fontId="20" fillId="0" borderId="1" xfId="0" applyFont="1" applyBorder="1" applyAlignment="1">
      <alignment horizontal="justify" vertical="center" wrapText="1"/>
    </xf>
    <xf numFmtId="8" fontId="20" fillId="0" borderId="1" xfId="0" applyNumberFormat="1" applyFont="1" applyBorder="1" applyAlignment="1">
      <alignment horizontal="right" vertical="center" wrapText="1"/>
    </xf>
    <xf numFmtId="0" fontId="20" fillId="18" borderId="1" xfId="0" applyFont="1" applyFill="1" applyBorder="1" applyAlignment="1">
      <alignment wrapText="1"/>
    </xf>
    <xf numFmtId="10" fontId="29" fillId="0" borderId="1" xfId="5" applyNumberFormat="1" applyFont="1" applyBorder="1" applyAlignment="1">
      <alignment horizontal="right" vertical="center" wrapText="1"/>
    </xf>
    <xf numFmtId="10" fontId="21" fillId="0" borderId="1" xfId="5" applyNumberFormat="1" applyFont="1" applyBorder="1" applyAlignment="1">
      <alignment horizontal="right" vertical="center" wrapText="1"/>
    </xf>
    <xf numFmtId="170" fontId="20" fillId="18" borderId="1" xfId="2" applyNumberFormat="1" applyFont="1" applyFill="1" applyBorder="1" applyAlignment="1">
      <alignment wrapText="1"/>
    </xf>
    <xf numFmtId="170" fontId="20" fillId="0" borderId="1" xfId="2" applyNumberFormat="1" applyFont="1" applyBorder="1" applyAlignment="1">
      <alignment horizontal="right" vertical="center" wrapText="1"/>
    </xf>
    <xf numFmtId="0" fontId="20" fillId="0" borderId="1" xfId="0" applyFont="1" applyBorder="1"/>
    <xf numFmtId="171" fontId="20" fillId="0" borderId="1" xfId="5" applyNumberFormat="1" applyFont="1" applyBorder="1"/>
    <xf numFmtId="172" fontId="20" fillId="0" borderId="1" xfId="6" applyNumberFormat="1" applyFont="1" applyBorder="1"/>
    <xf numFmtId="0" fontId="20" fillId="0" borderId="0" xfId="0" applyFont="1" applyFill="1" applyBorder="1"/>
    <xf numFmtId="10" fontId="20" fillId="0" borderId="0" xfId="5" applyNumberFormat="1" applyFont="1"/>
    <xf numFmtId="164" fontId="17" fillId="6" borderId="4" xfId="2" applyNumberFormat="1" applyFont="1" applyFill="1" applyBorder="1"/>
    <xf numFmtId="164" fontId="12" fillId="3" borderId="1" xfId="2" applyNumberFormat="1" applyFont="1" applyFill="1" applyBorder="1" applyAlignment="1">
      <alignment wrapText="1"/>
    </xf>
    <xf numFmtId="0" fontId="17" fillId="0" borderId="0" xfId="0" applyFont="1" applyFill="1" applyBorder="1" applyAlignment="1">
      <alignment horizontal="left"/>
    </xf>
    <xf numFmtId="43" fontId="17" fillId="0" borderId="0" xfId="2" applyFont="1" applyFill="1" applyBorder="1"/>
    <xf numFmtId="43" fontId="17" fillId="3" borderId="0" xfId="2" applyFont="1" applyFill="1"/>
    <xf numFmtId="0" fontId="12" fillId="4" borderId="9" xfId="0" applyFont="1" applyFill="1" applyBorder="1" applyAlignment="1">
      <alignment horizontal="centerContinuous"/>
    </xf>
    <xf numFmtId="17" fontId="12" fillId="4" borderId="10" xfId="0" applyNumberFormat="1" applyFont="1" applyFill="1" applyBorder="1" applyAlignment="1">
      <alignment horizontal="centerContinuous"/>
    </xf>
    <xf numFmtId="0" fontId="12" fillId="4" borderId="10" xfId="0" applyFont="1" applyFill="1" applyBorder="1" applyAlignment="1">
      <alignment horizontal="centerContinuous"/>
    </xf>
    <xf numFmtId="3" fontId="17" fillId="0" borderId="0" xfId="0" applyNumberFormat="1" applyFont="1" applyFill="1"/>
    <xf numFmtId="2" fontId="17" fillId="0" borderId="0" xfId="0" applyNumberFormat="1" applyFont="1" applyFill="1"/>
    <xf numFmtId="164" fontId="17" fillId="3" borderId="29" xfId="2" applyNumberFormat="1" applyFont="1" applyFill="1" applyBorder="1" applyAlignment="1">
      <alignment wrapText="1"/>
    </xf>
    <xf numFmtId="164" fontId="17" fillId="3" borderId="31" xfId="2" applyNumberFormat="1" applyFont="1" applyFill="1" applyBorder="1" applyAlignment="1">
      <alignment wrapText="1"/>
    </xf>
    <xf numFmtId="164" fontId="17" fillId="6" borderId="11" xfId="2" applyNumberFormat="1" applyFont="1" applyFill="1" applyBorder="1"/>
    <xf numFmtId="167" fontId="12" fillId="3" borderId="32" xfId="2" applyNumberFormat="1" applyFont="1" applyFill="1" applyBorder="1" applyAlignment="1">
      <alignment horizontal="center" wrapText="1"/>
    </xf>
    <xf numFmtId="167" fontId="12" fillId="6" borderId="14" xfId="2" applyNumberFormat="1" applyFont="1" applyFill="1" applyBorder="1"/>
    <xf numFmtId="167" fontId="17" fillId="6" borderId="14" xfId="2" applyNumberFormat="1" applyFont="1" applyFill="1" applyBorder="1"/>
    <xf numFmtId="167" fontId="17" fillId="6" borderId="12" xfId="2" applyNumberFormat="1" applyFont="1" applyFill="1" applyBorder="1"/>
    <xf numFmtId="167" fontId="17" fillId="0" borderId="0" xfId="2" applyNumberFormat="1" applyFont="1" applyFill="1"/>
    <xf numFmtId="164" fontId="17" fillId="3" borderId="30" xfId="2" applyNumberFormat="1" applyFont="1" applyFill="1" applyBorder="1"/>
    <xf numFmtId="164" fontId="17" fillId="4" borderId="14" xfId="2" applyNumberFormat="1" applyFont="1" applyFill="1" applyBorder="1"/>
    <xf numFmtId="164" fontId="17" fillId="6" borderId="12" xfId="2" applyNumberFormat="1" applyFont="1" applyFill="1" applyBorder="1"/>
    <xf numFmtId="164" fontId="17" fillId="3" borderId="12" xfId="2" applyNumberFormat="1" applyFont="1" applyFill="1" applyBorder="1"/>
    <xf numFmtId="164" fontId="17" fillId="3" borderId="32" xfId="2" applyNumberFormat="1" applyFont="1" applyFill="1" applyBorder="1" applyAlignment="1">
      <alignment wrapText="1"/>
    </xf>
    <xf numFmtId="164" fontId="12" fillId="3" borderId="9" xfId="2" applyNumberFormat="1" applyFont="1" applyFill="1" applyBorder="1" applyAlignment="1">
      <alignment wrapText="1"/>
    </xf>
    <xf numFmtId="164" fontId="12" fillId="6" borderId="10" xfId="2" applyNumberFormat="1" applyFont="1" applyFill="1" applyBorder="1"/>
    <xf numFmtId="164" fontId="17" fillId="3" borderId="4" xfId="2" applyNumberFormat="1" applyFont="1" applyFill="1" applyBorder="1" applyAlignment="1">
      <alignment wrapText="1"/>
    </xf>
    <xf numFmtId="164" fontId="12" fillId="0" borderId="0" xfId="2" applyNumberFormat="1" applyFont="1" applyFill="1"/>
    <xf numFmtId="9" fontId="12" fillId="0" borderId="8" xfId="0" applyNumberFormat="1" applyFont="1" applyFill="1" applyBorder="1" applyAlignment="1">
      <alignment horizontal="center"/>
    </xf>
    <xf numFmtId="9" fontId="12" fillId="0" borderId="8" xfId="0" applyNumberFormat="1" applyFont="1" applyFill="1" applyBorder="1" applyAlignment="1">
      <alignment horizontal="center" vertical="top" wrapText="1"/>
    </xf>
    <xf numFmtId="164" fontId="12" fillId="0" borderId="8" xfId="2" applyNumberFormat="1" applyFont="1" applyFill="1" applyBorder="1" applyAlignment="1"/>
    <xf numFmtId="164" fontId="17" fillId="0" borderId="8" xfId="2" applyNumberFormat="1" applyFont="1" applyFill="1" applyBorder="1" applyAlignment="1">
      <alignment vertical="top" wrapText="1"/>
    </xf>
    <xf numFmtId="165" fontId="27" fillId="19" borderId="1" xfId="2" applyNumberFormat="1" applyFont="1" applyFill="1" applyBorder="1"/>
    <xf numFmtId="0" fontId="12" fillId="0" borderId="0" xfId="0" applyFont="1" applyFill="1" applyAlignment="1">
      <alignment horizontal="left"/>
    </xf>
    <xf numFmtId="0" fontId="12" fillId="0" borderId="2" xfId="0" applyFont="1" applyFill="1" applyBorder="1" applyAlignment="1">
      <alignment horizontal="left"/>
    </xf>
    <xf numFmtId="0" fontId="17" fillId="0" borderId="2" xfId="0" applyFont="1" applyFill="1" applyBorder="1" applyAlignment="1">
      <alignment horizontal="left"/>
    </xf>
    <xf numFmtId="164" fontId="4" fillId="0" borderId="0" xfId="2" applyNumberFormat="1" applyFont="1" applyAlignment="1"/>
    <xf numFmtId="0" fontId="9" fillId="0" borderId="0" xfId="7" applyFont="1"/>
    <xf numFmtId="0" fontId="31" fillId="0" borderId="0" xfId="7" applyFont="1"/>
    <xf numFmtId="0" fontId="32" fillId="0" borderId="0" xfId="7" applyFont="1" applyFill="1"/>
    <xf numFmtId="0" fontId="33" fillId="0" borderId="0" xfId="7" applyFont="1" applyFill="1"/>
    <xf numFmtId="3" fontId="34" fillId="8" borderId="0" xfId="7" applyNumberFormat="1" applyFont="1" applyFill="1" applyBorder="1"/>
    <xf numFmtId="0" fontId="9" fillId="13" borderId="0" xfId="7" applyFont="1" applyFill="1" applyBorder="1"/>
    <xf numFmtId="0" fontId="9" fillId="0" borderId="1" xfId="7" applyFont="1" applyBorder="1" applyAlignment="1">
      <alignment wrapText="1"/>
    </xf>
    <xf numFmtId="0" fontId="31" fillId="15" borderId="1" xfId="7" applyFont="1" applyFill="1" applyBorder="1" applyAlignment="1">
      <alignment wrapText="1"/>
    </xf>
    <xf numFmtId="0" fontId="9" fillId="15" borderId="1" xfId="7" applyFont="1" applyFill="1" applyBorder="1" applyAlignment="1">
      <alignment wrapText="1"/>
    </xf>
    <xf numFmtId="0" fontId="34" fillId="0" borderId="1" xfId="7" applyFont="1" applyBorder="1" applyAlignment="1">
      <alignment wrapText="1"/>
    </xf>
    <xf numFmtId="0" fontId="33" fillId="15" borderId="1" xfId="7" applyFont="1" applyFill="1" applyBorder="1" applyAlignment="1">
      <alignment wrapText="1"/>
    </xf>
    <xf numFmtId="0" fontId="34" fillId="15" borderId="1" xfId="7" applyFont="1" applyFill="1" applyBorder="1" applyAlignment="1">
      <alignment wrapText="1"/>
    </xf>
    <xf numFmtId="0" fontId="9" fillId="20" borderId="0" xfId="7" applyFont="1" applyFill="1"/>
    <xf numFmtId="3" fontId="34" fillId="20" borderId="0" xfId="7" applyNumberFormat="1" applyFont="1" applyFill="1" applyBorder="1"/>
    <xf numFmtId="0" fontId="9" fillId="20" borderId="0" xfId="7" applyFont="1" applyFill="1" applyBorder="1"/>
    <xf numFmtId="0" fontId="9" fillId="20" borderId="1" xfId="7" applyFont="1" applyFill="1" applyBorder="1" applyAlignment="1">
      <alignment wrapText="1"/>
    </xf>
    <xf numFmtId="0" fontId="34" fillId="20" borderId="1" xfId="7" applyFont="1" applyFill="1" applyBorder="1" applyAlignment="1">
      <alignment horizontal="center" wrapText="1"/>
    </xf>
    <xf numFmtId="0" fontId="33" fillId="15" borderId="1" xfId="7" applyFont="1" applyFill="1" applyBorder="1" applyAlignment="1">
      <alignment horizontal="center" wrapText="1"/>
    </xf>
    <xf numFmtId="0" fontId="34" fillId="15" borderId="1" xfId="7" applyFont="1" applyFill="1" applyBorder="1" applyAlignment="1">
      <alignment horizontal="center" wrapText="1"/>
    </xf>
    <xf numFmtId="0" fontId="9" fillId="0" borderId="4" xfId="7" applyFont="1" applyBorder="1" applyAlignment="1">
      <alignment wrapText="1"/>
    </xf>
    <xf numFmtId="0" fontId="31" fillId="15" borderId="4" xfId="7" applyFont="1" applyFill="1" applyBorder="1" applyAlignment="1">
      <alignment wrapText="1"/>
    </xf>
    <xf numFmtId="0" fontId="9" fillId="15" borderId="4" xfId="7" applyFont="1" applyFill="1" applyBorder="1" applyAlignment="1">
      <alignment wrapText="1"/>
    </xf>
    <xf numFmtId="0" fontId="34" fillId="0" borderId="1" xfId="7" applyFont="1" applyBorder="1" applyAlignment="1">
      <alignment horizontal="center" wrapText="1"/>
    </xf>
    <xf numFmtId="0" fontId="35" fillId="0" borderId="1" xfId="7" applyFont="1" applyBorder="1" applyAlignment="1">
      <alignment horizontal="center" wrapText="1"/>
    </xf>
    <xf numFmtId="0" fontId="35" fillId="15" borderId="1" xfId="7" applyFont="1" applyFill="1" applyBorder="1" applyAlignment="1">
      <alignment horizontal="center" wrapText="1"/>
    </xf>
    <xf numFmtId="0" fontId="35" fillId="0" borderId="1" xfId="7" applyFont="1" applyBorder="1" applyAlignment="1">
      <alignment horizontal="left" wrapText="1"/>
    </xf>
    <xf numFmtId="0" fontId="9" fillId="0" borderId="1" xfId="7" applyFont="1" applyBorder="1" applyAlignment="1">
      <alignment horizontal="left" wrapText="1"/>
    </xf>
    <xf numFmtId="0" fontId="31" fillId="15" borderId="1" xfId="7" applyFont="1" applyFill="1" applyBorder="1" applyAlignment="1">
      <alignment horizontal="left" wrapText="1"/>
    </xf>
    <xf numFmtId="0" fontId="9" fillId="15" borderId="1" xfId="7" applyFont="1" applyFill="1" applyBorder="1" applyAlignment="1">
      <alignment horizontal="left" wrapText="1"/>
    </xf>
    <xf numFmtId="0" fontId="9" fillId="0" borderId="1" xfId="7" applyFont="1" applyFill="1" applyBorder="1" applyAlignment="1">
      <alignment wrapText="1"/>
    </xf>
    <xf numFmtId="164" fontId="9" fillId="0" borderId="1" xfId="8" applyNumberFormat="1" applyFont="1" applyFill="1" applyBorder="1" applyAlignment="1">
      <alignment wrapText="1"/>
    </xf>
    <xf numFmtId="0" fontId="9" fillId="13" borderId="1" xfId="7" applyFont="1" applyFill="1" applyBorder="1" applyAlignment="1">
      <alignment wrapText="1"/>
    </xf>
    <xf numFmtId="3" fontId="34" fillId="6" borderId="1" xfId="7" applyNumberFormat="1" applyFont="1" applyFill="1" applyBorder="1"/>
    <xf numFmtId="0" fontId="34" fillId="6" borderId="1" xfId="7" applyFont="1" applyFill="1" applyBorder="1" applyAlignment="1">
      <alignment wrapText="1"/>
    </xf>
    <xf numFmtId="164" fontId="31" fillId="0" borderId="1" xfId="8" applyNumberFormat="1" applyFont="1" applyBorder="1" applyAlignment="1">
      <alignment wrapText="1"/>
    </xf>
    <xf numFmtId="0" fontId="9" fillId="0" borderId="0" xfId="7" applyFont="1" applyFill="1" applyBorder="1"/>
    <xf numFmtId="0" fontId="31" fillId="15" borderId="0" xfId="7" applyFont="1" applyFill="1" applyBorder="1"/>
    <xf numFmtId="0" fontId="9" fillId="15" borderId="0" xfId="7" applyFont="1" applyFill="1" applyBorder="1"/>
    <xf numFmtId="164" fontId="9" fillId="0" borderId="1" xfId="7" applyNumberFormat="1" applyFont="1" applyBorder="1" applyAlignment="1">
      <alignment wrapText="1"/>
    </xf>
    <xf numFmtId="164" fontId="9" fillId="0" borderId="1" xfId="8" applyNumberFormat="1" applyFont="1" applyBorder="1" applyAlignment="1">
      <alignment wrapText="1"/>
    </xf>
    <xf numFmtId="43" fontId="9" fillId="0" borderId="0" xfId="7" applyNumberFormat="1" applyFont="1"/>
    <xf numFmtId="43" fontId="9" fillId="0" borderId="1" xfId="7" applyNumberFormat="1" applyFont="1" applyBorder="1" applyAlignment="1">
      <alignment wrapText="1"/>
    </xf>
    <xf numFmtId="43" fontId="9" fillId="0" borderId="0" xfId="8" applyFont="1"/>
    <xf numFmtId="3" fontId="9" fillId="0" borderId="1" xfId="7" applyNumberFormat="1" applyFont="1" applyBorder="1" applyAlignment="1">
      <alignment wrapText="1"/>
    </xf>
    <xf numFmtId="0" fontId="35" fillId="15" borderId="1" xfId="7" applyFont="1" applyFill="1" applyBorder="1" applyAlignment="1">
      <alignment wrapText="1"/>
    </xf>
    <xf numFmtId="0" fontId="35" fillId="0" borderId="1" xfId="7" applyFont="1" applyBorder="1" applyAlignment="1">
      <alignment wrapText="1"/>
    </xf>
    <xf numFmtId="166" fontId="34" fillId="16" borderId="1" xfId="9" applyNumberFormat="1" applyFont="1" applyFill="1" applyBorder="1"/>
    <xf numFmtId="0" fontId="34" fillId="16" borderId="1" xfId="7" applyFont="1" applyFill="1" applyBorder="1" applyAlignment="1">
      <alignment wrapText="1"/>
    </xf>
    <xf numFmtId="0" fontId="34" fillId="0" borderId="1" xfId="7" applyFont="1" applyBorder="1" applyAlignment="1">
      <alignment horizontal="left" wrapText="1"/>
    </xf>
    <xf numFmtId="0" fontId="33" fillId="15" borderId="1" xfId="7" applyFont="1" applyFill="1" applyBorder="1" applyAlignment="1">
      <alignment horizontal="left" wrapText="1"/>
    </xf>
    <xf numFmtId="0" fontId="34" fillId="15" borderId="1" xfId="7" applyFont="1" applyFill="1" applyBorder="1" applyAlignment="1">
      <alignment horizontal="left" wrapText="1"/>
    </xf>
    <xf numFmtId="0" fontId="36" fillId="0" borderId="0" xfId="7" applyFont="1"/>
    <xf numFmtId="3" fontId="35" fillId="8" borderId="0" xfId="7" applyNumberFormat="1" applyFont="1" applyFill="1" applyBorder="1"/>
    <xf numFmtId="0" fontId="36" fillId="13" borderId="0" xfId="7" applyFont="1" applyFill="1" applyBorder="1"/>
    <xf numFmtId="164" fontId="36" fillId="0" borderId="1" xfId="8" applyNumberFormat="1" applyFont="1" applyBorder="1" applyAlignment="1">
      <alignment wrapText="1"/>
    </xf>
    <xf numFmtId="164" fontId="36" fillId="13" borderId="1" xfId="8" applyNumberFormat="1" applyFont="1" applyFill="1" applyBorder="1" applyAlignment="1">
      <alignment wrapText="1"/>
    </xf>
    <xf numFmtId="164" fontId="34" fillId="0" borderId="1" xfId="8" applyNumberFormat="1" applyFont="1" applyBorder="1" applyAlignment="1">
      <alignment wrapText="1"/>
    </xf>
    <xf numFmtId="164" fontId="34" fillId="6" borderId="1" xfId="8" applyNumberFormat="1" applyFont="1" applyFill="1" applyBorder="1"/>
    <xf numFmtId="0" fontId="34" fillId="8" borderId="1" xfId="7" applyFont="1" applyFill="1" applyBorder="1" applyAlignment="1">
      <alignment horizontal="center" wrapText="1"/>
    </xf>
    <xf numFmtId="0" fontId="9" fillId="13" borderId="1" xfId="7" applyFont="1" applyFill="1" applyBorder="1" applyAlignment="1">
      <alignment horizontal="center" wrapText="1"/>
    </xf>
    <xf numFmtId="0" fontId="37" fillId="0" borderId="1" xfId="7" applyFont="1" applyBorder="1" applyAlignment="1">
      <alignment wrapText="1"/>
    </xf>
    <xf numFmtId="0" fontId="34" fillId="10" borderId="0" xfId="7" applyFont="1" applyFill="1" applyBorder="1" applyAlignment="1">
      <alignment wrapText="1"/>
    </xf>
    <xf numFmtId="3" fontId="34" fillId="0" borderId="0" xfId="7" applyNumberFormat="1" applyFont="1" applyFill="1" applyBorder="1"/>
    <xf numFmtId="0" fontId="33" fillId="10" borderId="0" xfId="7" applyFont="1" applyFill="1" applyBorder="1" applyAlignment="1">
      <alignment wrapText="1"/>
    </xf>
    <xf numFmtId="0" fontId="9" fillId="10" borderId="0" xfId="7" applyFont="1" applyFill="1" applyBorder="1" applyAlignment="1">
      <alignment wrapText="1"/>
    </xf>
    <xf numFmtId="0" fontId="31" fillId="10" borderId="0" xfId="7" applyFont="1" applyFill="1" applyBorder="1" applyAlignment="1">
      <alignment wrapText="1"/>
    </xf>
    <xf numFmtId="3" fontId="34" fillId="11" borderId="17" xfId="7" applyNumberFormat="1" applyFont="1" applyFill="1" applyBorder="1"/>
    <xf numFmtId="0" fontId="34" fillId="21" borderId="15" xfId="7" applyFont="1" applyFill="1" applyBorder="1" applyAlignment="1">
      <alignment wrapText="1"/>
    </xf>
    <xf numFmtId="0" fontId="34" fillId="15" borderId="15" xfId="7" applyFont="1" applyFill="1" applyBorder="1" applyAlignment="1">
      <alignment wrapText="1"/>
    </xf>
    <xf numFmtId="0" fontId="33" fillId="15" borderId="15" xfId="7" applyFont="1" applyFill="1" applyBorder="1" applyAlignment="1">
      <alignment wrapText="1"/>
    </xf>
    <xf numFmtId="0" fontId="34" fillId="6" borderId="22" xfId="7" applyFont="1" applyFill="1" applyBorder="1" applyAlignment="1">
      <alignment wrapText="1"/>
    </xf>
    <xf numFmtId="3" fontId="34" fillId="11" borderId="1" xfId="7" applyNumberFormat="1" applyFont="1" applyFill="1" applyBorder="1"/>
    <xf numFmtId="3" fontId="34" fillId="6" borderId="5" xfId="7" applyNumberFormat="1" applyFont="1" applyFill="1" applyBorder="1"/>
    <xf numFmtId="0" fontId="34" fillId="21" borderId="16" xfId="7" applyFont="1" applyFill="1" applyBorder="1" applyAlignment="1">
      <alignment wrapText="1"/>
    </xf>
    <xf numFmtId="0" fontId="34" fillId="15" borderId="16" xfId="7" applyFont="1" applyFill="1" applyBorder="1" applyAlignment="1">
      <alignment wrapText="1"/>
    </xf>
    <xf numFmtId="0" fontId="33" fillId="15" borderId="16" xfId="7" applyFont="1" applyFill="1" applyBorder="1" applyAlignment="1">
      <alignment wrapText="1"/>
    </xf>
    <xf numFmtId="0" fontId="9" fillId="11" borderId="1" xfId="7" applyFont="1" applyFill="1" applyBorder="1" applyAlignment="1">
      <alignment wrapText="1"/>
    </xf>
    <xf numFmtId="0" fontId="9" fillId="21" borderId="16" xfId="7" applyFont="1" applyFill="1" applyBorder="1" applyAlignment="1">
      <alignment wrapText="1"/>
    </xf>
    <xf numFmtId="0" fontId="9" fillId="15" borderId="16" xfId="7" applyFont="1" applyFill="1" applyBorder="1" applyAlignment="1">
      <alignment wrapText="1"/>
    </xf>
    <xf numFmtId="0" fontId="31" fillId="15" borderId="16" xfId="7" applyFont="1" applyFill="1" applyBorder="1" applyAlignment="1">
      <alignment wrapText="1"/>
    </xf>
    <xf numFmtId="0" fontId="9" fillId="0" borderId="22" xfId="7" applyFont="1" applyBorder="1" applyAlignment="1">
      <alignment wrapText="1"/>
    </xf>
    <xf numFmtId="164" fontId="9" fillId="11" borderId="1" xfId="8" applyNumberFormat="1" applyFont="1" applyFill="1" applyBorder="1" applyAlignment="1">
      <alignment wrapText="1"/>
    </xf>
    <xf numFmtId="0" fontId="34" fillId="21" borderId="16" xfId="7" applyFont="1" applyFill="1" applyBorder="1" applyAlignment="1">
      <alignment horizontal="right" wrapText="1"/>
    </xf>
    <xf numFmtId="0" fontId="34" fillId="15" borderId="16" xfId="7" applyFont="1" applyFill="1" applyBorder="1" applyAlignment="1">
      <alignment horizontal="right" wrapText="1"/>
    </xf>
    <xf numFmtId="0" fontId="33" fillId="15" borderId="16" xfId="7" applyFont="1" applyFill="1" applyBorder="1" applyAlignment="1">
      <alignment horizontal="right" wrapText="1"/>
    </xf>
    <xf numFmtId="0" fontId="34" fillId="0" borderId="22" xfId="7" applyFont="1" applyBorder="1" applyAlignment="1">
      <alignment horizontal="right" wrapText="1"/>
    </xf>
    <xf numFmtId="10" fontId="34" fillId="11" borderId="1" xfId="9" applyNumberFormat="1" applyFont="1" applyFill="1" applyBorder="1" applyAlignment="1">
      <alignment wrapText="1"/>
    </xf>
    <xf numFmtId="1" fontId="9" fillId="11" borderId="1" xfId="8" applyNumberFormat="1" applyFont="1" applyFill="1" applyBorder="1" applyAlignment="1">
      <alignment wrapText="1"/>
    </xf>
    <xf numFmtId="0" fontId="9" fillId="21" borderId="41" xfId="7" applyFont="1" applyFill="1" applyBorder="1" applyAlignment="1">
      <alignment wrapText="1"/>
    </xf>
    <xf numFmtId="0" fontId="9" fillId="15" borderId="41" xfId="7" applyFont="1" applyFill="1" applyBorder="1" applyAlignment="1">
      <alignment wrapText="1"/>
    </xf>
    <xf numFmtId="0" fontId="31" fillId="15" borderId="41" xfId="7" applyFont="1" applyFill="1" applyBorder="1" applyAlignment="1">
      <alignment wrapText="1"/>
    </xf>
    <xf numFmtId="0" fontId="9" fillId="11" borderId="0" xfId="7" applyFont="1" applyFill="1" applyBorder="1" applyAlignment="1">
      <alignment horizontal="center" wrapText="1"/>
    </xf>
    <xf numFmtId="0" fontId="35" fillId="11" borderId="0" xfId="7" applyFont="1" applyFill="1" applyBorder="1" applyAlignment="1">
      <alignment wrapText="1"/>
    </xf>
    <xf numFmtId="0" fontId="9" fillId="10" borderId="0" xfId="7" applyFont="1" applyFill="1" applyBorder="1"/>
    <xf numFmtId="0" fontId="9" fillId="0" borderId="4" xfId="7" applyFont="1" applyFill="1" applyBorder="1" applyAlignment="1">
      <alignment wrapText="1"/>
    </xf>
    <xf numFmtId="0" fontId="9" fillId="0" borderId="15" xfId="7" applyFont="1" applyFill="1" applyBorder="1" applyAlignment="1">
      <alignment wrapText="1"/>
    </xf>
    <xf numFmtId="0" fontId="31" fillId="0" borderId="15" xfId="7" applyFont="1" applyFill="1" applyBorder="1" applyAlignment="1">
      <alignment wrapText="1"/>
    </xf>
    <xf numFmtId="0" fontId="9" fillId="13" borderId="22" xfId="7" applyFont="1" applyFill="1" applyBorder="1" applyAlignment="1">
      <alignment wrapText="1"/>
    </xf>
    <xf numFmtId="0" fontId="34" fillId="13" borderId="22" xfId="7" applyFont="1" applyFill="1" applyBorder="1" applyAlignment="1">
      <alignment wrapText="1"/>
    </xf>
    <xf numFmtId="0" fontId="31" fillId="0" borderId="4" xfId="7" applyFont="1" applyFill="1" applyBorder="1" applyAlignment="1">
      <alignment wrapText="1"/>
    </xf>
    <xf numFmtId="0" fontId="9" fillId="13" borderId="0" xfId="7" applyFont="1" applyFill="1"/>
    <xf numFmtId="0" fontId="9" fillId="13" borderId="4" xfId="7" applyFont="1" applyFill="1" applyBorder="1" applyAlignment="1">
      <alignment wrapText="1"/>
    </xf>
    <xf numFmtId="0" fontId="34" fillId="13" borderId="15" xfId="7" applyFont="1" applyFill="1" applyBorder="1" applyAlignment="1">
      <alignment horizontal="center" wrapText="1"/>
    </xf>
    <xf numFmtId="0" fontId="33" fillId="13" borderId="15" xfId="7" applyFont="1" applyFill="1" applyBorder="1" applyAlignment="1">
      <alignment horizontal="center" wrapText="1"/>
    </xf>
    <xf numFmtId="0" fontId="34" fillId="13" borderId="22" xfId="7" applyFont="1" applyFill="1" applyBorder="1" applyAlignment="1">
      <alignment horizontal="center" wrapText="1"/>
    </xf>
    <xf numFmtId="0" fontId="9" fillId="12" borderId="4" xfId="7" applyFont="1" applyFill="1" applyBorder="1" applyAlignment="1">
      <alignment wrapText="1"/>
    </xf>
    <xf numFmtId="0" fontId="9" fillId="0" borderId="22" xfId="7" applyFont="1" applyFill="1" applyBorder="1" applyAlignment="1">
      <alignment wrapText="1"/>
    </xf>
    <xf numFmtId="164" fontId="9" fillId="13" borderId="1" xfId="7" applyNumberFormat="1" applyFont="1" applyFill="1" applyBorder="1" applyAlignment="1">
      <alignment wrapText="1"/>
    </xf>
    <xf numFmtId="0" fontId="31" fillId="13" borderId="1" xfId="7" applyFont="1" applyFill="1" applyBorder="1" applyAlignment="1">
      <alignment wrapText="1"/>
    </xf>
    <xf numFmtId="0" fontId="9" fillId="12" borderId="17" xfId="7" applyFont="1" applyFill="1" applyBorder="1" applyAlignment="1">
      <alignment wrapText="1"/>
    </xf>
    <xf numFmtId="0" fontId="9" fillId="0" borderId="17" xfId="7" applyFont="1" applyFill="1" applyBorder="1" applyAlignment="1">
      <alignment wrapText="1"/>
    </xf>
    <xf numFmtId="0" fontId="31" fillId="0" borderId="17" xfId="7" applyFont="1" applyFill="1" applyBorder="1" applyAlignment="1">
      <alignment wrapText="1"/>
    </xf>
    <xf numFmtId="3" fontId="34" fillId="12" borderId="6" xfId="7" applyNumberFormat="1" applyFont="1" applyFill="1" applyBorder="1"/>
    <xf numFmtId="0" fontId="31" fillId="0" borderId="1" xfId="7" applyFont="1" applyFill="1" applyBorder="1" applyAlignment="1">
      <alignment wrapText="1"/>
    </xf>
    <xf numFmtId="164" fontId="34" fillId="6" borderId="6" xfId="8" applyNumberFormat="1" applyFont="1" applyFill="1" applyBorder="1" applyAlignment="1">
      <alignment wrapText="1"/>
    </xf>
    <xf numFmtId="164" fontId="34" fillId="6" borderId="1" xfId="8" applyNumberFormat="1" applyFont="1" applyFill="1" applyBorder="1" applyAlignment="1">
      <alignment wrapText="1"/>
    </xf>
    <xf numFmtId="164" fontId="33" fillId="6" borderId="1" xfId="8" applyNumberFormat="1" applyFont="1" applyFill="1" applyBorder="1" applyAlignment="1">
      <alignment wrapText="1"/>
    </xf>
    <xf numFmtId="0" fontId="9" fillId="12" borderId="2" xfId="7" applyFont="1" applyFill="1" applyBorder="1" applyAlignment="1">
      <alignment horizontal="left"/>
    </xf>
    <xf numFmtId="0" fontId="31" fillId="0" borderId="22" xfId="7" applyFont="1" applyFill="1" applyBorder="1" applyAlignment="1">
      <alignment wrapText="1"/>
    </xf>
    <xf numFmtId="0" fontId="9" fillId="12" borderId="42" xfId="7" applyFont="1" applyFill="1" applyBorder="1" applyAlignment="1">
      <alignment horizontal="left"/>
    </xf>
    <xf numFmtId="0" fontId="9" fillId="12" borderId="1" xfId="7" applyFont="1" applyFill="1" applyBorder="1" applyAlignment="1">
      <alignment wrapText="1"/>
    </xf>
    <xf numFmtId="0" fontId="34" fillId="0" borderId="1" xfId="7" applyFont="1" applyFill="1" applyBorder="1" applyAlignment="1">
      <alignment wrapText="1"/>
    </xf>
    <xf numFmtId="0" fontId="33" fillId="0" borderId="1" xfId="7" applyFont="1" applyFill="1" applyBorder="1" applyAlignment="1">
      <alignment wrapText="1"/>
    </xf>
    <xf numFmtId="3" fontId="9" fillId="0" borderId="1" xfId="7" applyNumberFormat="1" applyFont="1" applyFill="1" applyBorder="1" applyAlignment="1">
      <alignment wrapText="1"/>
    </xf>
    <xf numFmtId="4" fontId="31" fillId="0" borderId="1" xfId="7" applyNumberFormat="1" applyFont="1" applyFill="1" applyBorder="1" applyAlignment="1">
      <alignment wrapText="1"/>
    </xf>
    <xf numFmtId="4" fontId="9" fillId="0" borderId="1" xfId="7" applyNumberFormat="1" applyFont="1" applyFill="1" applyBorder="1" applyAlignment="1">
      <alignment wrapText="1"/>
    </xf>
    <xf numFmtId="0" fontId="9" fillId="0" borderId="17" xfId="7" applyFont="1" applyBorder="1" applyAlignment="1">
      <alignment wrapText="1"/>
    </xf>
    <xf numFmtId="0" fontId="9" fillId="12" borderId="42" xfId="7" applyFont="1" applyFill="1" applyBorder="1" applyAlignment="1">
      <alignment horizontal="left" wrapText="1"/>
    </xf>
    <xf numFmtId="0" fontId="9" fillId="12" borderId="6" xfId="7" applyFont="1" applyFill="1" applyBorder="1" applyAlignment="1">
      <alignment horizontal="left" wrapText="1"/>
    </xf>
    <xf numFmtId="164" fontId="34" fillId="15" borderId="1" xfId="8" applyNumberFormat="1" applyFont="1" applyFill="1" applyBorder="1" applyAlignment="1">
      <alignment wrapText="1"/>
    </xf>
    <xf numFmtId="0" fontId="9" fillId="12" borderId="0" xfId="7" applyFont="1" applyFill="1" applyBorder="1" applyAlignment="1">
      <alignment horizontal="left"/>
    </xf>
    <xf numFmtId="164" fontId="9" fillId="22" borderId="1" xfId="8" applyNumberFormat="1" applyFont="1" applyFill="1" applyBorder="1" applyAlignment="1">
      <alignment wrapText="1"/>
    </xf>
    <xf numFmtId="0" fontId="9" fillId="22" borderId="1" xfId="7" applyFont="1" applyFill="1" applyBorder="1" applyAlignment="1">
      <alignment wrapText="1"/>
    </xf>
    <xf numFmtId="0" fontId="35" fillId="0" borderId="0" xfId="7" applyFont="1" applyFill="1"/>
    <xf numFmtId="9" fontId="35" fillId="0" borderId="1" xfId="7" applyNumberFormat="1" applyFont="1" applyFill="1" applyBorder="1" applyAlignment="1">
      <alignment wrapText="1"/>
    </xf>
    <xf numFmtId="0" fontId="35" fillId="0" borderId="1" xfId="7" applyFont="1" applyFill="1" applyBorder="1" applyAlignment="1">
      <alignment wrapText="1"/>
    </xf>
    <xf numFmtId="164" fontId="9" fillId="13" borderId="1" xfId="8" applyNumberFormat="1" applyFont="1" applyFill="1" applyBorder="1" applyAlignment="1">
      <alignment wrapText="1"/>
    </xf>
    <xf numFmtId="3" fontId="31" fillId="0" borderId="1" xfId="7" applyNumberFormat="1" applyFont="1" applyFill="1" applyBorder="1" applyAlignment="1">
      <alignment wrapText="1"/>
    </xf>
    <xf numFmtId="164" fontId="9" fillId="0" borderId="0" xfId="7" applyNumberFormat="1" applyFont="1"/>
    <xf numFmtId="0" fontId="34" fillId="13" borderId="1" xfId="7" applyFont="1" applyFill="1" applyBorder="1" applyAlignment="1">
      <alignment wrapText="1"/>
    </xf>
    <xf numFmtId="164" fontId="9" fillId="11" borderId="1" xfId="7" applyNumberFormat="1" applyFont="1" applyFill="1" applyBorder="1" applyAlignment="1">
      <alignment wrapText="1"/>
    </xf>
    <xf numFmtId="173" fontId="9" fillId="0" borderId="0" xfId="7" applyNumberFormat="1" applyFont="1"/>
    <xf numFmtId="164" fontId="9" fillId="0" borderId="0" xfId="7" quotePrefix="1" applyNumberFormat="1" applyFont="1"/>
    <xf numFmtId="164" fontId="9" fillId="11" borderId="4" xfId="8" applyNumberFormat="1" applyFont="1" applyFill="1" applyBorder="1" applyAlignment="1">
      <alignment wrapText="1"/>
    </xf>
    <xf numFmtId="165" fontId="9" fillId="0" borderId="0" xfId="7" applyNumberFormat="1" applyFont="1"/>
    <xf numFmtId="0" fontId="35" fillId="11" borderId="1" xfId="7" applyFont="1" applyFill="1" applyBorder="1" applyAlignment="1">
      <alignment wrapText="1"/>
    </xf>
    <xf numFmtId="0" fontId="34" fillId="0" borderId="0" xfId="7" applyFont="1"/>
    <xf numFmtId="0" fontId="9" fillId="10" borderId="0" xfId="7" applyFont="1" applyFill="1"/>
    <xf numFmtId="0" fontId="9" fillId="10" borderId="0" xfId="7" applyFont="1" applyFill="1" applyAlignment="1">
      <alignment wrapText="1"/>
    </xf>
    <xf numFmtId="0" fontId="9" fillId="10" borderId="1" xfId="7" applyFont="1" applyFill="1" applyBorder="1" applyAlignment="1">
      <alignment wrapText="1"/>
    </xf>
    <xf numFmtId="0" fontId="9" fillId="23" borderId="1" xfId="7" applyFont="1" applyFill="1" applyBorder="1" applyAlignment="1">
      <alignment wrapText="1"/>
    </xf>
    <xf numFmtId="0" fontId="34" fillId="24" borderId="1" xfId="7" applyFont="1" applyFill="1" applyBorder="1" applyAlignment="1">
      <alignment wrapText="1"/>
    </xf>
    <xf numFmtId="0" fontId="35" fillId="25" borderId="1" xfId="7" applyFont="1" applyFill="1" applyBorder="1" applyAlignment="1">
      <alignment wrapText="1"/>
    </xf>
    <xf numFmtId="0" fontId="34" fillId="10" borderId="0" xfId="7" applyFont="1" applyFill="1" applyAlignment="1">
      <alignment wrapText="1"/>
    </xf>
    <xf numFmtId="164" fontId="9" fillId="10" borderId="0" xfId="7" applyNumberFormat="1" applyFont="1" applyFill="1" applyAlignment="1">
      <alignment wrapText="1"/>
    </xf>
    <xf numFmtId="164" fontId="31" fillId="10" borderId="0" xfId="7" applyNumberFormat="1" applyFont="1" applyFill="1" applyAlignment="1">
      <alignment wrapText="1"/>
    </xf>
    <xf numFmtId="164" fontId="9" fillId="0" borderId="4" xfId="8" applyNumberFormat="1" applyFont="1" applyBorder="1" applyAlignment="1">
      <alignment wrapText="1"/>
    </xf>
    <xf numFmtId="0" fontId="9" fillId="0" borderId="5" xfId="7" applyFont="1" applyBorder="1" applyAlignment="1">
      <alignment wrapText="1"/>
    </xf>
    <xf numFmtId="0" fontId="31" fillId="0" borderId="1" xfId="7" applyFont="1" applyBorder="1" applyAlignment="1">
      <alignment wrapText="1"/>
    </xf>
    <xf numFmtId="164" fontId="9" fillId="12" borderId="2" xfId="8" applyNumberFormat="1" applyFont="1" applyFill="1" applyBorder="1" applyAlignment="1">
      <alignment wrapText="1"/>
    </xf>
    <xf numFmtId="164" fontId="9" fillId="0" borderId="22" xfId="8" applyNumberFormat="1" applyFont="1" applyBorder="1" applyAlignment="1">
      <alignment wrapText="1"/>
    </xf>
    <xf numFmtId="0" fontId="9" fillId="0" borderId="6" xfId="7" applyFont="1" applyBorder="1" applyAlignment="1">
      <alignment wrapText="1"/>
    </xf>
    <xf numFmtId="164" fontId="9" fillId="12" borderId="42" xfId="8" applyNumberFormat="1" applyFont="1" applyFill="1" applyBorder="1" applyAlignment="1">
      <alignment wrapText="1"/>
    </xf>
    <xf numFmtId="164" fontId="31" fillId="0" borderId="1" xfId="7" applyNumberFormat="1" applyFont="1" applyBorder="1" applyAlignment="1">
      <alignment wrapText="1"/>
    </xf>
    <xf numFmtId="164" fontId="9" fillId="0" borderId="17" xfId="8" applyNumberFormat="1" applyFont="1" applyFill="1" applyBorder="1"/>
    <xf numFmtId="164" fontId="9" fillId="12" borderId="1" xfId="8" applyNumberFormat="1" applyFont="1" applyFill="1" applyBorder="1" applyAlignment="1">
      <alignment wrapText="1"/>
    </xf>
    <xf numFmtId="164" fontId="9" fillId="0" borderId="5" xfId="8" applyNumberFormat="1" applyFont="1" applyFill="1" applyBorder="1" applyAlignment="1">
      <alignment wrapText="1"/>
    </xf>
    <xf numFmtId="164" fontId="33" fillId="0" borderId="1" xfId="8" applyNumberFormat="1" applyFont="1" applyFill="1" applyBorder="1" applyAlignment="1">
      <alignment wrapText="1"/>
    </xf>
    <xf numFmtId="164" fontId="31" fillId="0" borderId="1" xfId="8" applyNumberFormat="1" applyFont="1" applyFill="1" applyBorder="1" applyAlignment="1">
      <alignment wrapText="1"/>
    </xf>
    <xf numFmtId="0" fontId="9" fillId="0" borderId="0" xfId="7" applyFont="1" applyFill="1"/>
    <xf numFmtId="164" fontId="31" fillId="0" borderId="1" xfId="7" applyNumberFormat="1" applyFont="1" applyFill="1" applyBorder="1" applyAlignment="1">
      <alignment wrapText="1"/>
    </xf>
    <xf numFmtId="164" fontId="9" fillId="0" borderId="1" xfId="7" applyNumberFormat="1" applyFont="1" applyFill="1" applyBorder="1" applyAlignment="1">
      <alignment wrapText="1"/>
    </xf>
    <xf numFmtId="43" fontId="34" fillId="0" borderId="0" xfId="10" applyFont="1"/>
    <xf numFmtId="43" fontId="9" fillId="0" borderId="0" xfId="10" applyFont="1"/>
    <xf numFmtId="164" fontId="31" fillId="0" borderId="1" xfId="10" applyNumberFormat="1" applyFont="1" applyBorder="1" applyAlignment="1">
      <alignment wrapText="1"/>
    </xf>
    <xf numFmtId="164" fontId="9" fillId="0" borderId="1" xfId="10" applyNumberFormat="1" applyFont="1" applyBorder="1" applyAlignment="1">
      <alignment wrapText="1"/>
    </xf>
    <xf numFmtId="164" fontId="35" fillId="0" borderId="1" xfId="8" applyNumberFormat="1" applyFont="1" applyBorder="1" applyAlignment="1">
      <alignment wrapText="1"/>
    </xf>
    <xf numFmtId="164" fontId="9" fillId="12" borderId="0" xfId="8" applyNumberFormat="1" applyFont="1" applyFill="1" applyBorder="1"/>
    <xf numFmtId="164" fontId="9" fillId="12" borderId="42" xfId="8" applyNumberFormat="1" applyFont="1" applyFill="1" applyBorder="1"/>
    <xf numFmtId="164" fontId="9" fillId="0" borderId="52" xfId="8" applyNumberFormat="1" applyFont="1" applyBorder="1" applyAlignment="1">
      <alignment wrapText="1"/>
    </xf>
    <xf numFmtId="164" fontId="9" fillId="12" borderId="0" xfId="8" applyNumberFormat="1" applyFont="1" applyFill="1" applyBorder="1" applyAlignment="1">
      <alignment wrapText="1"/>
    </xf>
    <xf numFmtId="164" fontId="35" fillId="0" borderId="22" xfId="8" applyNumberFormat="1" applyFont="1" applyBorder="1" applyAlignment="1">
      <alignment wrapText="1"/>
    </xf>
    <xf numFmtId="164" fontId="34" fillId="3" borderId="1" xfId="8" applyNumberFormat="1" applyFont="1" applyFill="1" applyBorder="1" applyAlignment="1">
      <alignment wrapText="1"/>
    </xf>
    <xf numFmtId="0" fontId="34" fillId="3" borderId="1" xfId="7" applyFont="1" applyFill="1" applyBorder="1" applyAlignment="1">
      <alignment wrapText="1"/>
    </xf>
    <xf numFmtId="164" fontId="9" fillId="12" borderId="6" xfId="8" applyNumberFormat="1" applyFont="1" applyFill="1" applyBorder="1" applyAlignment="1">
      <alignment horizontal="left"/>
    </xf>
    <xf numFmtId="164" fontId="9" fillId="12" borderId="0" xfId="8" applyNumberFormat="1" applyFont="1" applyFill="1" applyBorder="1" applyAlignment="1">
      <alignment horizontal="left"/>
    </xf>
    <xf numFmtId="164" fontId="9" fillId="12" borderId="42" xfId="8" applyNumberFormat="1" applyFont="1" applyFill="1" applyBorder="1" applyAlignment="1">
      <alignment horizontal="left"/>
    </xf>
    <xf numFmtId="164" fontId="34" fillId="12" borderId="2" xfId="8" applyNumberFormat="1" applyFont="1" applyFill="1" applyBorder="1" applyAlignment="1">
      <alignment horizontal="left"/>
    </xf>
    <xf numFmtId="164" fontId="34" fillId="6" borderId="22" xfId="8" applyNumberFormat="1" applyFont="1" applyFill="1" applyBorder="1" applyAlignment="1">
      <alignment wrapText="1"/>
    </xf>
    <xf numFmtId="164" fontId="34" fillId="12" borderId="0" xfId="8" applyNumberFormat="1" applyFont="1" applyFill="1" applyBorder="1" applyAlignment="1">
      <alignment horizontal="left"/>
    </xf>
    <xf numFmtId="164" fontId="34" fillId="0" borderId="22" xfId="8" applyNumberFormat="1" applyFont="1" applyFill="1" applyBorder="1" applyAlignment="1">
      <alignment wrapText="1"/>
    </xf>
    <xf numFmtId="164" fontId="34" fillId="0" borderId="1" xfId="8" applyNumberFormat="1" applyFont="1" applyFill="1" applyBorder="1" applyAlignment="1">
      <alignment wrapText="1"/>
    </xf>
    <xf numFmtId="164" fontId="9" fillId="12" borderId="2" xfId="8" applyNumberFormat="1" applyFont="1" applyFill="1" applyBorder="1" applyAlignment="1">
      <alignment horizontal="left"/>
    </xf>
    <xf numFmtId="3" fontId="34" fillId="10" borderId="0" xfId="8" applyNumberFormat="1" applyFont="1" applyFill="1" applyBorder="1" applyAlignment="1">
      <alignment horizontal="center"/>
    </xf>
    <xf numFmtId="164" fontId="34" fillId="10" borderId="0" xfId="8" applyNumberFormat="1" applyFont="1" applyFill="1" applyBorder="1" applyAlignment="1">
      <alignment wrapText="1"/>
    </xf>
    <xf numFmtId="164" fontId="34" fillId="12" borderId="0" xfId="10" applyNumberFormat="1" applyFont="1" applyFill="1" applyBorder="1" applyAlignment="1">
      <alignment horizontal="center"/>
    </xf>
    <xf numFmtId="164" fontId="9" fillId="0" borderId="0" xfId="10" applyNumberFormat="1" applyFont="1" applyBorder="1" applyAlignment="1">
      <alignment wrapText="1"/>
    </xf>
    <xf numFmtId="164" fontId="9" fillId="0" borderId="1" xfId="10" applyNumberFormat="1" applyFont="1" applyFill="1" applyBorder="1" applyAlignment="1">
      <alignment wrapText="1"/>
    </xf>
    <xf numFmtId="164" fontId="31" fillId="0" borderId="1" xfId="10" applyNumberFormat="1" applyFont="1" applyFill="1" applyBorder="1" applyAlignment="1">
      <alignment wrapText="1"/>
    </xf>
    <xf numFmtId="164" fontId="34" fillId="12" borderId="6" xfId="10" applyNumberFormat="1" applyFont="1" applyFill="1" applyBorder="1" applyAlignment="1">
      <alignment horizontal="center"/>
    </xf>
    <xf numFmtId="164" fontId="9" fillId="13" borderId="1" xfId="10" applyNumberFormat="1" applyFont="1" applyFill="1" applyBorder="1" applyAlignment="1">
      <alignment wrapText="1"/>
    </xf>
    <xf numFmtId="164" fontId="31" fillId="13" borderId="1" xfId="10" applyNumberFormat="1" applyFont="1" applyFill="1" applyBorder="1" applyAlignment="1">
      <alignment wrapText="1"/>
    </xf>
    <xf numFmtId="164" fontId="9" fillId="12" borderId="6" xfId="10" applyNumberFormat="1" applyFont="1" applyFill="1" applyBorder="1" applyAlignment="1">
      <alignment horizontal="left"/>
    </xf>
    <xf numFmtId="164" fontId="9" fillId="12" borderId="22" xfId="10" applyNumberFormat="1" applyFont="1" applyFill="1" applyBorder="1" applyAlignment="1">
      <alignment horizontal="left"/>
    </xf>
    <xf numFmtId="0" fontId="34" fillId="10" borderId="0" xfId="7" applyFont="1" applyFill="1" applyBorder="1" applyAlignment="1">
      <alignment horizontal="center" wrapText="1"/>
    </xf>
    <xf numFmtId="0" fontId="38" fillId="10" borderId="0" xfId="7" applyFont="1" applyFill="1" applyBorder="1" applyAlignment="1">
      <alignment wrapText="1"/>
    </xf>
    <xf numFmtId="3" fontId="38" fillId="10" borderId="0" xfId="8" applyNumberFormat="1" applyFont="1" applyFill="1" applyBorder="1" applyAlignment="1">
      <alignment horizontal="center"/>
    </xf>
    <xf numFmtId="164" fontId="34" fillId="0" borderId="0" xfId="10" applyNumberFormat="1" applyFont="1" applyFill="1" applyBorder="1" applyAlignment="1">
      <alignment wrapText="1"/>
    </xf>
    <xf numFmtId="0" fontId="39" fillId="10" borderId="0" xfId="7" applyFont="1" applyFill="1" applyBorder="1" applyAlignment="1">
      <alignment wrapText="1"/>
    </xf>
    <xf numFmtId="164" fontId="33" fillId="6" borderId="15" xfId="8" applyNumberFormat="1" applyFont="1" applyFill="1" applyBorder="1" applyAlignment="1">
      <alignment wrapText="1"/>
    </xf>
    <xf numFmtId="4" fontId="9" fillId="0" borderId="1" xfId="7" applyNumberFormat="1" applyFont="1" applyBorder="1" applyAlignment="1">
      <alignment wrapText="1"/>
    </xf>
    <xf numFmtId="164" fontId="9" fillId="0" borderId="0" xfId="10" applyNumberFormat="1" applyFont="1"/>
    <xf numFmtId="0" fontId="9" fillId="0" borderId="34" xfId="7" applyFont="1" applyBorder="1"/>
    <xf numFmtId="43" fontId="9" fillId="0" borderId="13" xfId="10" applyFont="1" applyBorder="1"/>
    <xf numFmtId="0" fontId="9" fillId="0" borderId="46" xfId="7" applyFont="1" applyBorder="1"/>
    <xf numFmtId="0" fontId="9" fillId="0" borderId="38" xfId="7" applyFont="1" applyBorder="1"/>
    <xf numFmtId="43" fontId="9" fillId="0" borderId="0" xfId="10" applyFont="1" applyBorder="1"/>
    <xf numFmtId="0" fontId="9" fillId="0" borderId="39" xfId="7" applyFont="1" applyBorder="1"/>
    <xf numFmtId="0" fontId="9" fillId="0" borderId="45" xfId="7" applyFont="1" applyBorder="1"/>
    <xf numFmtId="164" fontId="9" fillId="0" borderId="35" xfId="10" applyNumberFormat="1" applyFont="1" applyBorder="1"/>
    <xf numFmtId="0" fontId="35" fillId="0" borderId="44" xfId="7" applyFont="1" applyBorder="1"/>
    <xf numFmtId="164" fontId="35" fillId="14" borderId="0" xfId="7" applyNumberFormat="1" applyFont="1" applyFill="1"/>
    <xf numFmtId="43" fontId="9" fillId="0" borderId="12" xfId="10" applyFont="1" applyBorder="1"/>
    <xf numFmtId="43" fontId="9" fillId="0" borderId="14" xfId="10" applyFont="1" applyBorder="1"/>
    <xf numFmtId="0" fontId="9" fillId="0" borderId="32" xfId="7" applyFont="1" applyBorder="1"/>
    <xf numFmtId="164" fontId="34" fillId="0" borderId="1" xfId="7" applyNumberFormat="1" applyFont="1" applyFill="1" applyBorder="1" applyAlignment="1">
      <alignment wrapText="1"/>
    </xf>
    <xf numFmtId="43" fontId="9" fillId="0" borderId="11" xfId="10" applyFont="1" applyBorder="1"/>
    <xf numFmtId="43" fontId="9" fillId="0" borderId="1" xfId="10" applyFont="1" applyBorder="1"/>
    <xf numFmtId="0" fontId="9" fillId="0" borderId="31" xfId="7" applyFont="1" applyBorder="1"/>
    <xf numFmtId="164" fontId="35" fillId="0" borderId="0" xfId="10" applyNumberFormat="1" applyFont="1"/>
    <xf numFmtId="164" fontId="9" fillId="8" borderId="1" xfId="8" applyNumberFormat="1" applyFont="1" applyFill="1" applyBorder="1" applyAlignment="1">
      <alignment wrapText="1"/>
    </xf>
    <xf numFmtId="43" fontId="9" fillId="0" borderId="57" xfId="10" applyFont="1" applyBorder="1"/>
    <xf numFmtId="43" fontId="9" fillId="0" borderId="48" xfId="10" applyFont="1" applyBorder="1"/>
    <xf numFmtId="0" fontId="9" fillId="0" borderId="56" xfId="7" applyFont="1" applyBorder="1"/>
    <xf numFmtId="164" fontId="39" fillId="6" borderId="1" xfId="8" applyNumberFormat="1" applyFont="1" applyFill="1" applyBorder="1" applyAlignment="1">
      <alignment wrapText="1"/>
    </xf>
    <xf numFmtId="49" fontId="40" fillId="0" borderId="22" xfId="11" applyNumberFormat="1" applyFont="1" applyFill="1" applyBorder="1" applyAlignment="1">
      <alignment horizontal="left" vertical="top"/>
    </xf>
    <xf numFmtId="0" fontId="34" fillId="0" borderId="0" xfId="7" applyFont="1" applyFill="1"/>
    <xf numFmtId="0" fontId="31" fillId="10" borderId="0" xfId="7" applyFont="1" applyFill="1" applyAlignment="1">
      <alignment wrapText="1"/>
    </xf>
    <xf numFmtId="164" fontId="34" fillId="10" borderId="0" xfId="8" applyNumberFormat="1" applyFont="1" applyFill="1" applyBorder="1" applyAlignment="1">
      <alignment horizontal="center" wrapText="1"/>
    </xf>
    <xf numFmtId="164" fontId="9" fillId="10" borderId="0" xfId="8" applyNumberFormat="1" applyFont="1" applyFill="1" applyAlignment="1">
      <alignment wrapText="1"/>
    </xf>
    <xf numFmtId="164" fontId="9" fillId="13" borderId="0" xfId="8" applyNumberFormat="1" applyFont="1" applyFill="1" applyAlignment="1">
      <alignment wrapText="1"/>
    </xf>
    <xf numFmtId="164" fontId="9" fillId="10" borderId="0" xfId="8" applyNumberFormat="1" applyFont="1" applyFill="1" applyAlignment="1"/>
    <xf numFmtId="164" fontId="35" fillId="10" borderId="2" xfId="8" applyNumberFormat="1" applyFont="1" applyFill="1" applyBorder="1" applyAlignment="1">
      <alignment wrapText="1"/>
    </xf>
    <xf numFmtId="164" fontId="9" fillId="10" borderId="2" xfId="8" applyNumberFormat="1" applyFont="1" applyFill="1" applyBorder="1" applyAlignment="1">
      <alignment wrapText="1"/>
    </xf>
    <xf numFmtId="164" fontId="34" fillId="10" borderId="0" xfId="7" applyNumberFormat="1" applyFont="1" applyFill="1" applyBorder="1" applyAlignment="1">
      <alignment horizontal="center" wrapText="1"/>
    </xf>
    <xf numFmtId="0" fontId="9" fillId="10" borderId="0" xfId="7" applyFont="1" applyFill="1" applyAlignment="1"/>
    <xf numFmtId="164" fontId="35" fillId="14" borderId="0" xfId="8" applyNumberFormat="1" applyFont="1" applyFill="1" applyBorder="1" applyAlignment="1">
      <alignment horizontal="center" wrapText="1"/>
    </xf>
    <xf numFmtId="164" fontId="35" fillId="14" borderId="0" xfId="8" applyNumberFormat="1" applyFont="1" applyFill="1" applyAlignment="1">
      <alignment wrapText="1"/>
    </xf>
    <xf numFmtId="0" fontId="34" fillId="10" borderId="2" xfId="7" applyFont="1" applyFill="1" applyBorder="1" applyAlignment="1">
      <alignment horizontal="center" wrapText="1"/>
    </xf>
    <xf numFmtId="0" fontId="9" fillId="10" borderId="2" xfId="7" applyFont="1" applyFill="1" applyBorder="1" applyAlignment="1">
      <alignment wrapText="1"/>
    </xf>
    <xf numFmtId="0" fontId="33" fillId="10" borderId="2" xfId="7" applyFont="1" applyFill="1" applyBorder="1" applyAlignment="1">
      <alignment wrapText="1"/>
    </xf>
    <xf numFmtId="0" fontId="35" fillId="10" borderId="2" xfId="7" applyFont="1" applyFill="1" applyBorder="1" applyAlignment="1">
      <alignment wrapText="1"/>
    </xf>
    <xf numFmtId="0" fontId="34" fillId="12" borderId="8" xfId="7" applyFont="1" applyFill="1" applyBorder="1" applyAlignment="1">
      <alignment horizontal="left"/>
    </xf>
    <xf numFmtId="0" fontId="9" fillId="0" borderId="8" xfId="7" applyFont="1" applyFill="1" applyBorder="1" applyAlignment="1">
      <alignment wrapText="1"/>
    </xf>
    <xf numFmtId="0" fontId="31" fillId="0" borderId="8" xfId="7" applyFont="1" applyFill="1" applyBorder="1" applyAlignment="1">
      <alignment wrapText="1"/>
    </xf>
    <xf numFmtId="0" fontId="9" fillId="0" borderId="8" xfId="7" applyFont="1" applyBorder="1" applyAlignment="1">
      <alignment wrapText="1"/>
    </xf>
    <xf numFmtId="0" fontId="9" fillId="0" borderId="2" xfId="7" applyFont="1" applyFill="1" applyBorder="1" applyAlignment="1">
      <alignment wrapText="1"/>
    </xf>
    <xf numFmtId="0" fontId="31" fillId="0" borderId="2" xfId="7" applyFont="1" applyFill="1" applyBorder="1" applyAlignment="1">
      <alignment wrapText="1"/>
    </xf>
    <xf numFmtId="164" fontId="34" fillId="6" borderId="6" xfId="8" applyNumberFormat="1" applyFont="1" applyFill="1" applyBorder="1" applyAlignment="1">
      <alignment horizontal="left"/>
    </xf>
    <xf numFmtId="0" fontId="34" fillId="6" borderId="6" xfId="7" applyFont="1" applyFill="1" applyBorder="1" applyAlignment="1">
      <alignment horizontal="left" wrapText="1"/>
    </xf>
    <xf numFmtId="0" fontId="33" fillId="6" borderId="6" xfId="7" applyFont="1" applyFill="1" applyBorder="1" applyAlignment="1">
      <alignment wrapText="1"/>
    </xf>
    <xf numFmtId="0" fontId="34" fillId="6" borderId="6" xfId="7" applyFont="1" applyFill="1" applyBorder="1" applyAlignment="1">
      <alignment wrapText="1"/>
    </xf>
    <xf numFmtId="164" fontId="34" fillId="6" borderId="6" xfId="8" applyNumberFormat="1" applyFont="1" applyFill="1" applyBorder="1" applyAlignment="1">
      <alignment horizontal="center"/>
    </xf>
    <xf numFmtId="0" fontId="9" fillId="12" borderId="6" xfId="7" applyFont="1" applyFill="1" applyBorder="1" applyAlignment="1">
      <alignment horizontal="left"/>
    </xf>
    <xf numFmtId="9" fontId="9" fillId="12" borderId="6" xfId="9" applyFont="1" applyFill="1" applyBorder="1" applyAlignment="1">
      <alignment horizontal="center"/>
    </xf>
    <xf numFmtId="9" fontId="9" fillId="0" borderId="1" xfId="9" applyFont="1" applyBorder="1" applyAlignment="1">
      <alignment wrapText="1"/>
    </xf>
    <xf numFmtId="0" fontId="9" fillId="0" borderId="1" xfId="7" applyFont="1" applyFill="1" applyBorder="1" applyAlignment="1">
      <alignment horizontal="left" wrapText="1"/>
    </xf>
    <xf numFmtId="0" fontId="31" fillId="0" borderId="1" xfId="7" applyFont="1" applyFill="1" applyBorder="1" applyAlignment="1">
      <alignment horizontal="left" wrapText="1"/>
    </xf>
    <xf numFmtId="0" fontId="9" fillId="6" borderId="17" xfId="7" applyFont="1" applyFill="1" applyBorder="1" applyAlignment="1">
      <alignment horizontal="center" wrapText="1"/>
    </xf>
    <xf numFmtId="0" fontId="33" fillId="6" borderId="17" xfId="7" applyFont="1" applyFill="1" applyBorder="1" applyAlignment="1">
      <alignment wrapText="1"/>
    </xf>
    <xf numFmtId="0" fontId="34" fillId="6" borderId="17" xfId="7" applyFont="1" applyFill="1" applyBorder="1" applyAlignment="1">
      <alignment wrapText="1"/>
    </xf>
    <xf numFmtId="0" fontId="9" fillId="6" borderId="0" xfId="7" applyFont="1" applyFill="1" applyBorder="1" applyAlignment="1">
      <alignment horizontal="left"/>
    </xf>
    <xf numFmtId="0" fontId="34" fillId="6" borderId="0" xfId="7" applyFont="1" applyFill="1" applyBorder="1"/>
    <xf numFmtId="0" fontId="33" fillId="6" borderId="0" xfId="7" applyFont="1" applyFill="1" applyBorder="1"/>
    <xf numFmtId="0" fontId="9" fillId="13" borderId="2" xfId="7" applyFont="1" applyFill="1" applyBorder="1" applyAlignment="1">
      <alignment horizontal="center" wrapText="1"/>
    </xf>
    <xf numFmtId="0" fontId="33" fillId="11" borderId="1" xfId="7" applyFont="1" applyFill="1" applyBorder="1" applyAlignment="1">
      <alignment wrapText="1"/>
    </xf>
    <xf numFmtId="0" fontId="33" fillId="10" borderId="0" xfId="7" applyFont="1" applyFill="1" applyBorder="1" applyAlignment="1">
      <alignment horizontal="center" wrapText="1"/>
    </xf>
    <xf numFmtId="164" fontId="31" fillId="0" borderId="0" xfId="7" applyNumberFormat="1" applyFont="1"/>
    <xf numFmtId="164" fontId="38" fillId="10" borderId="0" xfId="8" applyNumberFormat="1" applyFont="1" applyFill="1" applyBorder="1" applyAlignment="1">
      <alignment wrapText="1"/>
    </xf>
    <xf numFmtId="164" fontId="33" fillId="10" borderId="0" xfId="7" applyNumberFormat="1" applyFont="1" applyFill="1" applyBorder="1" applyAlignment="1">
      <alignment wrapText="1"/>
    </xf>
    <xf numFmtId="164" fontId="38" fillId="12" borderId="1" xfId="8" applyNumberFormat="1" applyFont="1" applyFill="1" applyBorder="1" applyAlignment="1">
      <alignment wrapText="1"/>
    </xf>
    <xf numFmtId="164" fontId="38" fillId="12" borderId="0" xfId="8" applyNumberFormat="1" applyFont="1" applyFill="1" applyBorder="1" applyAlignment="1">
      <alignment wrapText="1"/>
    </xf>
    <xf numFmtId="0" fontId="31" fillId="0" borderId="1" xfId="7" applyFont="1" applyBorder="1" applyAlignment="1">
      <alignment horizontal="left" wrapText="1"/>
    </xf>
    <xf numFmtId="164" fontId="38" fillId="12" borderId="42" xfId="8" applyNumberFormat="1" applyFont="1" applyFill="1" applyBorder="1" applyAlignment="1">
      <alignment wrapText="1"/>
    </xf>
    <xf numFmtId="164" fontId="38" fillId="0" borderId="52" xfId="8" applyNumberFormat="1" applyFont="1" applyFill="1" applyBorder="1" applyAlignment="1">
      <alignment wrapText="1"/>
    </xf>
    <xf numFmtId="164" fontId="38" fillId="12" borderId="2" xfId="8" applyNumberFormat="1" applyFont="1" applyFill="1" applyBorder="1" applyAlignment="1">
      <alignment wrapText="1"/>
    </xf>
    <xf numFmtId="164" fontId="31" fillId="12" borderId="1" xfId="8" applyNumberFormat="1" applyFont="1" applyFill="1" applyBorder="1" applyAlignment="1">
      <alignment wrapText="1"/>
    </xf>
    <xf numFmtId="0" fontId="31" fillId="0" borderId="22" xfId="7" applyFont="1" applyBorder="1" applyAlignment="1">
      <alignment wrapText="1"/>
    </xf>
    <xf numFmtId="164" fontId="9" fillId="0" borderId="22" xfId="7" applyNumberFormat="1" applyFont="1" applyBorder="1" applyAlignment="1">
      <alignment wrapText="1"/>
    </xf>
    <xf numFmtId="164" fontId="31" fillId="0" borderId="22" xfId="7" applyNumberFormat="1" applyFont="1" applyBorder="1" applyAlignment="1">
      <alignment wrapText="1"/>
    </xf>
    <xf numFmtId="164" fontId="9" fillId="6" borderId="22" xfId="8" applyNumberFormat="1" applyFont="1" applyFill="1" applyBorder="1" applyAlignment="1">
      <alignment wrapText="1"/>
    </xf>
    <xf numFmtId="164" fontId="9" fillId="6" borderId="1" xfId="8" applyNumberFormat="1" applyFont="1" applyFill="1" applyBorder="1" applyAlignment="1">
      <alignment wrapText="1"/>
    </xf>
    <xf numFmtId="164" fontId="31" fillId="6" borderId="22" xfId="8" applyNumberFormat="1" applyFont="1" applyFill="1" applyBorder="1" applyAlignment="1">
      <alignment wrapText="1"/>
    </xf>
    <xf numFmtId="164" fontId="33" fillId="0" borderId="22" xfId="8" applyNumberFormat="1" applyFont="1" applyBorder="1" applyAlignment="1">
      <alignment wrapText="1"/>
    </xf>
    <xf numFmtId="3" fontId="31" fillId="0" borderId="1" xfId="7" applyNumberFormat="1" applyFont="1" applyBorder="1" applyAlignment="1">
      <alignment wrapText="1"/>
    </xf>
    <xf numFmtId="3" fontId="9" fillId="0" borderId="0" xfId="7" applyNumberFormat="1" applyFont="1"/>
    <xf numFmtId="164" fontId="34" fillId="3" borderId="22" xfId="8" applyNumberFormat="1" applyFont="1" applyFill="1" applyBorder="1" applyAlignment="1">
      <alignment wrapText="1"/>
    </xf>
    <xf numFmtId="174" fontId="9" fillId="0" borderId="0" xfId="7" applyNumberFormat="1" applyFont="1"/>
    <xf numFmtId="164" fontId="9" fillId="12" borderId="2" xfId="8" applyNumberFormat="1" applyFont="1" applyFill="1" applyBorder="1"/>
    <xf numFmtId="164" fontId="9" fillId="12" borderId="2" xfId="10" applyNumberFormat="1" applyFont="1" applyFill="1" applyBorder="1" applyAlignment="1">
      <alignment horizontal="left"/>
    </xf>
    <xf numFmtId="164" fontId="9" fillId="12" borderId="42" xfId="10" applyNumberFormat="1" applyFont="1" applyFill="1" applyBorder="1" applyAlignment="1">
      <alignment horizontal="left"/>
    </xf>
    <xf numFmtId="0" fontId="18" fillId="11" borderId="1" xfId="7" applyFont="1" applyFill="1" applyBorder="1" applyAlignment="1">
      <alignment wrapText="1"/>
    </xf>
    <xf numFmtId="164" fontId="9" fillId="10" borderId="0" xfId="8" applyNumberFormat="1" applyFont="1" applyFill="1" applyBorder="1"/>
    <xf numFmtId="0" fontId="9" fillId="10" borderId="0" xfId="7" applyFont="1" applyFill="1" applyBorder="1" applyAlignment="1">
      <alignment horizontal="left" wrapText="1"/>
    </xf>
    <xf numFmtId="164" fontId="34" fillId="6" borderId="0" xfId="8" applyNumberFormat="1" applyFont="1" applyFill="1" applyBorder="1" applyAlignment="1">
      <alignment wrapText="1"/>
    </xf>
    <xf numFmtId="4" fontId="33" fillId="6" borderId="0" xfId="7" applyNumberFormat="1" applyFont="1" applyFill="1" applyBorder="1" applyAlignment="1">
      <alignment wrapText="1"/>
    </xf>
    <xf numFmtId="0" fontId="34" fillId="6" borderId="0" xfId="7" applyFont="1" applyFill="1" applyBorder="1" applyAlignment="1">
      <alignment wrapText="1"/>
    </xf>
    <xf numFmtId="164" fontId="33" fillId="6" borderId="0" xfId="8" applyNumberFormat="1" applyFont="1" applyFill="1" applyBorder="1" applyAlignment="1">
      <alignment wrapText="1"/>
    </xf>
    <xf numFmtId="164" fontId="9" fillId="12" borderId="1" xfId="10" applyNumberFormat="1" applyFont="1" applyFill="1" applyBorder="1" applyAlignment="1">
      <alignment horizontal="left" wrapText="1"/>
    </xf>
    <xf numFmtId="164" fontId="9" fillId="0" borderId="1" xfId="10" applyNumberFormat="1" applyFont="1" applyFill="1" applyBorder="1" applyAlignment="1">
      <alignment horizontal="left" wrapText="1"/>
    </xf>
    <xf numFmtId="164" fontId="31" fillId="0" borderId="1" xfId="10" applyNumberFormat="1" applyFont="1" applyFill="1" applyBorder="1" applyAlignment="1">
      <alignment horizontal="left" wrapText="1"/>
    </xf>
    <xf numFmtId="164" fontId="9" fillId="10" borderId="1" xfId="10" applyNumberFormat="1" applyFont="1" applyFill="1" applyBorder="1" applyAlignment="1">
      <alignment horizontal="left" wrapText="1"/>
    </xf>
    <xf numFmtId="164" fontId="31" fillId="10" borderId="1" xfId="10" applyNumberFormat="1" applyFont="1" applyFill="1" applyBorder="1" applyAlignment="1">
      <alignment horizontal="left" wrapText="1"/>
    </xf>
    <xf numFmtId="0" fontId="9" fillId="10" borderId="1" xfId="7" applyFont="1" applyFill="1" applyBorder="1" applyAlignment="1">
      <alignment horizontal="left" wrapText="1"/>
    </xf>
    <xf numFmtId="164" fontId="9" fillId="3" borderId="1" xfId="10" applyNumberFormat="1" applyFont="1" applyFill="1" applyBorder="1" applyAlignment="1">
      <alignment wrapText="1"/>
    </xf>
    <xf numFmtId="164" fontId="34" fillId="27" borderId="1" xfId="10" applyNumberFormat="1" applyFont="1" applyFill="1" applyBorder="1" applyAlignment="1">
      <alignment wrapText="1"/>
    </xf>
    <xf numFmtId="164" fontId="33" fillId="27" borderId="1" xfId="10" applyNumberFormat="1" applyFont="1" applyFill="1" applyBorder="1" applyAlignment="1">
      <alignment wrapText="1"/>
    </xf>
    <xf numFmtId="0" fontId="34" fillId="27" borderId="1" xfId="7" applyFont="1" applyFill="1" applyBorder="1" applyAlignment="1">
      <alignment wrapText="1"/>
    </xf>
    <xf numFmtId="164" fontId="34" fillId="3" borderId="1" xfId="10" applyNumberFormat="1" applyFont="1" applyFill="1" applyBorder="1" applyAlignment="1">
      <alignment wrapText="1"/>
    </xf>
    <xf numFmtId="164" fontId="33" fillId="3" borderId="1" xfId="10" applyNumberFormat="1" applyFont="1" applyFill="1" applyBorder="1" applyAlignment="1">
      <alignment wrapText="1"/>
    </xf>
    <xf numFmtId="164" fontId="31" fillId="3" borderId="1" xfId="10" applyNumberFormat="1" applyFont="1" applyFill="1" applyBorder="1" applyAlignment="1">
      <alignment wrapText="1"/>
    </xf>
    <xf numFmtId="164" fontId="9" fillId="0" borderId="1" xfId="10" applyNumberFormat="1" applyFont="1" applyFill="1" applyBorder="1" applyAlignment="1">
      <alignment horizontal="right" wrapText="1"/>
    </xf>
    <xf numFmtId="164" fontId="9" fillId="0" borderId="0" xfId="8" applyNumberFormat="1" applyFont="1" applyBorder="1" applyAlignment="1">
      <alignment wrapText="1"/>
    </xf>
    <xf numFmtId="164" fontId="9" fillId="8" borderId="0" xfId="8" applyNumberFormat="1" applyFont="1" applyFill="1" applyBorder="1" applyAlignment="1">
      <alignment wrapText="1"/>
    </xf>
    <xf numFmtId="0" fontId="9" fillId="0" borderId="0" xfId="7" applyFont="1" applyFill="1" applyBorder="1" applyAlignment="1">
      <alignment wrapText="1"/>
    </xf>
    <xf numFmtId="0" fontId="31" fillId="0" borderId="0" xfId="7" applyFont="1" applyFill="1" applyBorder="1" applyAlignment="1">
      <alignment wrapText="1"/>
    </xf>
    <xf numFmtId="175" fontId="9" fillId="0" borderId="0" xfId="7" applyNumberFormat="1" applyFont="1"/>
    <xf numFmtId="165" fontId="9" fillId="0" borderId="1" xfId="8" applyNumberFormat="1" applyFont="1" applyBorder="1" applyAlignment="1">
      <alignment wrapText="1"/>
    </xf>
    <xf numFmtId="165" fontId="9" fillId="0" borderId="1" xfId="8" applyNumberFormat="1" applyFont="1" applyBorder="1" applyAlignment="1">
      <alignment horizontal="justify" vertical="top" wrapText="1"/>
    </xf>
    <xf numFmtId="165" fontId="9" fillId="0" borderId="1" xfId="7" applyNumberFormat="1" applyFont="1" applyFill="1" applyBorder="1" applyAlignment="1">
      <alignment vertical="top" wrapText="1"/>
    </xf>
    <xf numFmtId="165" fontId="31" fillId="0" borderId="1" xfId="7" applyNumberFormat="1" applyFont="1" applyFill="1" applyBorder="1" applyAlignment="1">
      <alignment vertical="top" wrapText="1"/>
    </xf>
    <xf numFmtId="0" fontId="9" fillId="10" borderId="0" xfId="7" applyFont="1" applyFill="1" applyAlignment="1">
      <alignment horizontal="center"/>
    </xf>
    <xf numFmtId="164" fontId="9" fillId="0" borderId="22" xfId="8" applyNumberFormat="1" applyFont="1" applyFill="1" applyBorder="1" applyAlignment="1">
      <alignment wrapText="1"/>
    </xf>
    <xf numFmtId="164" fontId="9" fillId="0" borderId="22" xfId="7" applyNumberFormat="1" applyFont="1" applyFill="1" applyBorder="1" applyAlignment="1">
      <alignment wrapText="1"/>
    </xf>
    <xf numFmtId="164" fontId="31" fillId="0" borderId="22" xfId="7" applyNumberFormat="1" applyFont="1" applyFill="1" applyBorder="1" applyAlignment="1">
      <alignment wrapText="1"/>
    </xf>
    <xf numFmtId="164" fontId="9" fillId="0" borderId="6" xfId="7" applyNumberFormat="1" applyFont="1" applyFill="1" applyBorder="1" applyAlignment="1">
      <alignment wrapText="1"/>
    </xf>
    <xf numFmtId="0" fontId="31" fillId="0" borderId="6" xfId="7" applyFont="1" applyFill="1" applyBorder="1" applyAlignment="1">
      <alignment wrapText="1"/>
    </xf>
    <xf numFmtId="0" fontId="9" fillId="0" borderId="6" xfId="7" applyFont="1" applyFill="1" applyBorder="1" applyAlignment="1">
      <alignment wrapText="1"/>
    </xf>
    <xf numFmtId="0" fontId="33" fillId="0" borderId="0" xfId="7" applyFont="1" applyFill="1" applyBorder="1" applyAlignment="1">
      <alignment horizontal="center" wrapText="1"/>
    </xf>
    <xf numFmtId="0" fontId="34" fillId="0" borderId="0" xfId="7" applyFont="1" applyFill="1" applyBorder="1" applyAlignment="1">
      <alignment horizontal="center" wrapText="1"/>
    </xf>
    <xf numFmtId="0" fontId="9" fillId="10" borderId="0" xfId="7" applyFont="1" applyFill="1" applyBorder="1" applyAlignment="1">
      <alignment horizontal="left"/>
    </xf>
    <xf numFmtId="0" fontId="31" fillId="10" borderId="0" xfId="7" applyFont="1" applyFill="1" applyBorder="1" applyAlignment="1">
      <alignment horizontal="left" wrapText="1"/>
    </xf>
    <xf numFmtId="0" fontId="9" fillId="0" borderId="4" xfId="7" applyFont="1" applyFill="1" applyBorder="1" applyAlignment="1">
      <alignment horizontal="center"/>
    </xf>
    <xf numFmtId="0" fontId="31" fillId="0" borderId="4" xfId="7" applyFont="1" applyFill="1" applyBorder="1" applyAlignment="1">
      <alignment horizontal="center"/>
    </xf>
    <xf numFmtId="0" fontId="9" fillId="10" borderId="22" xfId="7" applyFont="1" applyFill="1" applyBorder="1" applyAlignment="1">
      <alignment wrapText="1"/>
    </xf>
    <xf numFmtId="14" fontId="9" fillId="0" borderId="8" xfId="7" applyNumberFormat="1" applyFont="1" applyFill="1" applyBorder="1" applyAlignment="1"/>
    <xf numFmtId="14" fontId="9" fillId="0" borderId="4" xfId="7" applyNumberFormat="1" applyFont="1" applyFill="1" applyBorder="1" applyAlignment="1">
      <alignment horizontal="right"/>
    </xf>
    <xf numFmtId="176" fontId="9" fillId="0" borderId="4" xfId="8" applyNumberFormat="1" applyFont="1" applyFill="1" applyBorder="1" applyAlignment="1">
      <alignment horizontal="right"/>
    </xf>
    <xf numFmtId="0" fontId="31" fillId="0" borderId="15" xfId="7" applyFont="1" applyBorder="1" applyAlignment="1">
      <alignment wrapText="1"/>
    </xf>
    <xf numFmtId="0" fontId="9" fillId="0" borderId="15" xfId="7" applyFont="1" applyBorder="1" applyAlignment="1">
      <alignment wrapText="1"/>
    </xf>
    <xf numFmtId="14" fontId="9" fillId="0" borderId="5" xfId="7" applyNumberFormat="1" applyFont="1" applyFill="1" applyBorder="1" applyAlignment="1"/>
    <xf numFmtId="14" fontId="9" fillId="0" borderId="1" xfId="7" applyNumberFormat="1" applyFont="1" applyFill="1" applyBorder="1" applyAlignment="1">
      <alignment horizontal="right"/>
    </xf>
    <xf numFmtId="0" fontId="31" fillId="10" borderId="22" xfId="7" applyFont="1" applyFill="1" applyBorder="1" applyAlignment="1">
      <alignment wrapText="1"/>
    </xf>
    <xf numFmtId="0" fontId="9" fillId="10" borderId="15" xfId="7" applyFont="1" applyFill="1" applyBorder="1" applyAlignment="1">
      <alignment wrapText="1"/>
    </xf>
    <xf numFmtId="0" fontId="9" fillId="0" borderId="0" xfId="7" applyFont="1" applyBorder="1"/>
    <xf numFmtId="0" fontId="9" fillId="13" borderId="13" xfId="7" applyFont="1" applyFill="1" applyBorder="1"/>
    <xf numFmtId="0" fontId="34" fillId="13" borderId="14" xfId="7" applyFont="1" applyFill="1" applyBorder="1" applyAlignment="1">
      <alignment horizontal="center" wrapText="1"/>
    </xf>
    <xf numFmtId="0" fontId="39" fillId="13" borderId="27" xfId="7" applyFont="1" applyFill="1" applyBorder="1" applyAlignment="1">
      <alignment horizontal="center" wrapText="1"/>
    </xf>
    <xf numFmtId="0" fontId="34" fillId="13" borderId="27" xfId="7" applyFont="1" applyFill="1" applyBorder="1" applyAlignment="1">
      <alignment horizontal="center" wrapText="1"/>
    </xf>
    <xf numFmtId="0" fontId="9" fillId="0" borderId="5" xfId="7" applyFont="1" applyFill="1" applyBorder="1" applyAlignment="1"/>
    <xf numFmtId="0" fontId="9" fillId="0" borderId="22" xfId="7" applyFont="1" applyFill="1" applyBorder="1" applyAlignment="1"/>
    <xf numFmtId="0" fontId="9" fillId="0" borderId="1" xfId="7" applyFont="1" applyFill="1" applyBorder="1" applyAlignment="1"/>
    <xf numFmtId="0" fontId="31" fillId="0" borderId="1" xfId="7" applyFont="1" applyFill="1" applyBorder="1" applyAlignment="1"/>
    <xf numFmtId="0" fontId="9" fillId="0" borderId="6" xfId="7" applyFont="1" applyFill="1" applyBorder="1" applyAlignment="1"/>
    <xf numFmtId="0" fontId="31" fillId="0" borderId="22" xfId="7" applyFont="1" applyFill="1" applyBorder="1" applyAlignment="1"/>
    <xf numFmtId="0" fontId="9" fillId="0" borderId="1" xfId="7" applyFont="1" applyBorder="1"/>
    <xf numFmtId="0" fontId="34" fillId="0" borderId="22" xfId="7" applyFont="1" applyFill="1" applyBorder="1" applyAlignment="1"/>
    <xf numFmtId="0" fontId="35" fillId="0" borderId="22" xfId="7" applyFont="1" applyFill="1" applyBorder="1" applyAlignment="1"/>
    <xf numFmtId="49" fontId="35" fillId="0" borderId="22" xfId="7" applyNumberFormat="1" applyFont="1" applyFill="1" applyBorder="1" applyAlignment="1"/>
    <xf numFmtId="49" fontId="33" fillId="0" borderId="22" xfId="7" applyNumberFormat="1" applyFont="1" applyFill="1" applyBorder="1" applyAlignment="1"/>
    <xf numFmtId="49" fontId="9" fillId="0" borderId="22" xfId="7" applyNumberFormat="1" applyFont="1" applyFill="1" applyBorder="1" applyAlignment="1"/>
    <xf numFmtId="49" fontId="31" fillId="0" borderId="22" xfId="7" applyNumberFormat="1" applyFont="1" applyFill="1" applyBorder="1" applyAlignment="1"/>
    <xf numFmtId="0" fontId="9" fillId="11" borderId="0" xfId="7" applyFont="1" applyFill="1" applyBorder="1"/>
    <xf numFmtId="0" fontId="38" fillId="11" borderId="0" xfId="7" applyFont="1" applyFill="1" applyBorder="1" applyAlignment="1">
      <alignment wrapText="1"/>
    </xf>
    <xf numFmtId="0" fontId="34" fillId="11" borderId="0" xfId="7" applyFont="1" applyFill="1" applyBorder="1" applyAlignment="1">
      <alignment wrapText="1"/>
    </xf>
    <xf numFmtId="0" fontId="33" fillId="11" borderId="0" xfId="7" applyFont="1" applyFill="1" applyBorder="1" applyAlignment="1">
      <alignment wrapText="1"/>
    </xf>
    <xf numFmtId="0" fontId="38" fillId="9" borderId="0" xfId="7" applyFont="1" applyFill="1" applyBorder="1" applyAlignment="1"/>
    <xf numFmtId="0" fontId="33" fillId="9" borderId="0" xfId="7" applyFont="1" applyFill="1" applyBorder="1" applyAlignment="1"/>
    <xf numFmtId="0" fontId="30" fillId="9" borderId="0" xfId="7" applyFont="1" applyFill="1" applyBorder="1" applyAlignment="1"/>
    <xf numFmtId="0" fontId="35" fillId="0" borderId="22" xfId="7" applyNumberFormat="1" applyFont="1" applyFill="1" applyBorder="1" applyAlignment="1"/>
    <xf numFmtId="164" fontId="34" fillId="0" borderId="1" xfId="10" applyNumberFormat="1" applyFont="1" applyFill="1" applyBorder="1" applyAlignment="1">
      <alignment wrapText="1"/>
    </xf>
    <xf numFmtId="164" fontId="9" fillId="0" borderId="1" xfId="2" applyNumberFormat="1" applyFont="1" applyBorder="1" applyAlignment="1">
      <alignment wrapText="1"/>
    </xf>
    <xf numFmtId="43" fontId="9" fillId="10" borderId="0" xfId="2" applyFont="1" applyFill="1" applyAlignment="1">
      <alignment wrapText="1"/>
    </xf>
    <xf numFmtId="164" fontId="9" fillId="10" borderId="0" xfId="2" applyNumberFormat="1" applyFont="1" applyFill="1" applyAlignment="1">
      <alignment wrapText="1"/>
    </xf>
    <xf numFmtId="164" fontId="34" fillId="6" borderId="1" xfId="2" applyNumberFormat="1" applyFont="1" applyFill="1" applyBorder="1" applyAlignment="1">
      <alignment wrapText="1"/>
    </xf>
    <xf numFmtId="164" fontId="9" fillId="0" borderId="1" xfId="2" applyNumberFormat="1" applyFont="1" applyFill="1" applyBorder="1" applyAlignment="1">
      <alignment wrapText="1"/>
    </xf>
    <xf numFmtId="0" fontId="9" fillId="13" borderId="22" xfId="7" applyFont="1" applyFill="1" applyBorder="1" applyAlignment="1">
      <alignment horizontal="center" vertical="center" wrapText="1"/>
    </xf>
    <xf numFmtId="43" fontId="34" fillId="10" borderId="0" xfId="2" applyFont="1" applyFill="1" applyBorder="1" applyAlignment="1">
      <alignment wrapText="1"/>
    </xf>
    <xf numFmtId="43" fontId="12" fillId="0" borderId="8" xfId="2" applyFont="1" applyFill="1" applyBorder="1" applyAlignment="1">
      <alignment horizontal="center"/>
    </xf>
    <xf numFmtId="43" fontId="17" fillId="0" borderId="8" xfId="2" applyFont="1" applyBorder="1" applyAlignment="1">
      <alignment wrapText="1"/>
    </xf>
    <xf numFmtId="164" fontId="12" fillId="2" borderId="13" xfId="2" applyNumberFormat="1" applyFont="1" applyFill="1" applyBorder="1" applyAlignment="1">
      <alignment horizontal="left"/>
    </xf>
    <xf numFmtId="0" fontId="17" fillId="15" borderId="0" xfId="0" applyFont="1" applyFill="1" applyAlignment="1">
      <alignment horizontal="right"/>
    </xf>
    <xf numFmtId="0" fontId="4" fillId="15" borderId="1" xfId="0" applyFont="1" applyFill="1" applyBorder="1" applyAlignment="1">
      <alignment horizontal="center"/>
    </xf>
    <xf numFmtId="166" fontId="12" fillId="2" borderId="17" xfId="5" applyNumberFormat="1" applyFont="1" applyFill="1" applyBorder="1" applyAlignment="1">
      <alignment horizontal="right"/>
    </xf>
    <xf numFmtId="0" fontId="17" fillId="15" borderId="1" xfId="0" applyFont="1" applyFill="1" applyBorder="1" applyAlignment="1">
      <alignment horizontal="right"/>
    </xf>
    <xf numFmtId="0" fontId="17" fillId="0" borderId="1" xfId="0" applyFont="1" applyFill="1" applyBorder="1" applyAlignment="1">
      <alignment horizontal="right"/>
    </xf>
    <xf numFmtId="0" fontId="17" fillId="3" borderId="4" xfId="0" applyFont="1" applyFill="1" applyBorder="1" applyAlignment="1">
      <alignment wrapText="1"/>
    </xf>
    <xf numFmtId="3" fontId="17" fillId="3" borderId="4" xfId="0" applyNumberFormat="1" applyFont="1" applyFill="1" applyBorder="1" applyAlignment="1">
      <alignment horizontal="right"/>
    </xf>
    <xf numFmtId="0" fontId="17" fillId="15" borderId="14" xfId="0" applyFont="1" applyFill="1" applyBorder="1" applyAlignment="1">
      <alignment wrapText="1"/>
    </xf>
    <xf numFmtId="3" fontId="17" fillId="0" borderId="14" xfId="0" applyNumberFormat="1" applyFont="1" applyBorder="1" applyAlignment="1">
      <alignment horizontal="right"/>
    </xf>
    <xf numFmtId="0" fontId="17" fillId="15" borderId="13" xfId="0" applyFont="1" applyFill="1" applyBorder="1" applyAlignment="1">
      <alignment horizontal="right"/>
    </xf>
    <xf numFmtId="0" fontId="17" fillId="0" borderId="13" xfId="0" applyFont="1" applyBorder="1"/>
    <xf numFmtId="0" fontId="12" fillId="2" borderId="58" xfId="0" applyFont="1" applyFill="1" applyBorder="1" applyAlignment="1">
      <alignment vertical="top" wrapText="1"/>
    </xf>
    <xf numFmtId="0" fontId="12" fillId="2" borderId="45" xfId="0" applyFont="1" applyFill="1" applyBorder="1" applyAlignment="1">
      <alignment horizontal="center" vertical="top" wrapText="1"/>
    </xf>
    <xf numFmtId="164" fontId="17" fillId="15" borderId="1" xfId="2" applyNumberFormat="1" applyFont="1" applyFill="1" applyBorder="1" applyAlignment="1">
      <alignment horizontal="right"/>
    </xf>
    <xf numFmtId="0" fontId="19" fillId="3" borderId="0" xfId="0" applyFont="1" applyFill="1"/>
    <xf numFmtId="164" fontId="0" fillId="0" borderId="0" xfId="2" applyNumberFormat="1" applyFont="1" applyFill="1"/>
    <xf numFmtId="43" fontId="17" fillId="0" borderId="1" xfId="2" applyFont="1" applyBorder="1"/>
    <xf numFmtId="43" fontId="17" fillId="5" borderId="1" xfId="2" applyFont="1" applyFill="1" applyBorder="1"/>
    <xf numFmtId="43" fontId="17" fillId="0" borderId="1" xfId="2" applyFont="1" applyFill="1" applyBorder="1"/>
    <xf numFmtId="0" fontId="16" fillId="2" borderId="0" xfId="0" applyFont="1" applyFill="1"/>
    <xf numFmtId="0" fontId="34" fillId="0" borderId="0" xfId="7" applyFont="1" applyFill="1" applyAlignment="1">
      <alignment horizontal="center"/>
    </xf>
    <xf numFmtId="0" fontId="34" fillId="19" borderId="0" xfId="7" applyFont="1" applyFill="1" applyAlignment="1">
      <alignment horizontal="center"/>
    </xf>
    <xf numFmtId="0" fontId="34" fillId="26" borderId="0" xfId="7" applyFont="1" applyFill="1" applyAlignment="1">
      <alignment horizontal="center"/>
    </xf>
    <xf numFmtId="0" fontId="17" fillId="0" borderId="0" xfId="0" applyFont="1" applyAlignment="1">
      <alignment horizontal="left" wrapText="1"/>
    </xf>
    <xf numFmtId="164" fontId="0" fillId="0" borderId="0" xfId="2" applyNumberFormat="1" applyFont="1" applyAlignment="1">
      <alignment horizontal="left"/>
    </xf>
    <xf numFmtId="164" fontId="4" fillId="0" borderId="0" xfId="2" applyNumberFormat="1" applyFont="1" applyAlignment="1">
      <alignment horizontal="left"/>
    </xf>
    <xf numFmtId="164" fontId="0" fillId="0" borderId="0" xfId="2" applyNumberFormat="1" applyFont="1" applyAlignment="1">
      <alignment horizontal="center"/>
    </xf>
    <xf numFmtId="164" fontId="4" fillId="0" borderId="0" xfId="2" applyNumberFormat="1" applyFont="1" applyAlignment="1">
      <alignment horizontal="center" wrapText="1"/>
    </xf>
    <xf numFmtId="164" fontId="0" fillId="0" borderId="43" xfId="2" applyNumberFormat="1" applyFont="1" applyBorder="1" applyAlignment="1">
      <alignment horizontal="center"/>
    </xf>
    <xf numFmtId="164" fontId="16" fillId="0" borderId="0" xfId="2" applyNumberFormat="1" applyFont="1" applyAlignment="1">
      <alignment horizontal="center"/>
    </xf>
    <xf numFmtId="164" fontId="0" fillId="0" borderId="0" xfId="2" applyNumberFormat="1" applyFont="1" applyAlignment="1">
      <alignment horizontal="center" wrapText="1"/>
    </xf>
    <xf numFmtId="164" fontId="0" fillId="0" borderId="0" xfId="2" applyNumberFormat="1" applyFont="1" applyAlignment="1"/>
    <xf numFmtId="164" fontId="5" fillId="0" borderId="0" xfId="2" applyNumberFormat="1" applyFont="1" applyAlignment="1">
      <alignment horizontal="left"/>
    </xf>
    <xf numFmtId="164" fontId="4" fillId="0" borderId="0" xfId="2" applyNumberFormat="1" applyFont="1" applyAlignment="1">
      <alignment horizontal="center"/>
    </xf>
    <xf numFmtId="164" fontId="6" fillId="0" borderId="0" xfId="2" applyNumberFormat="1" applyFont="1" applyAlignment="1">
      <alignment horizontal="left"/>
    </xf>
    <xf numFmtId="164" fontId="3" fillId="0" borderId="0" xfId="2" applyNumberFormat="1" applyFont="1" applyAlignment="1">
      <alignment horizontal="center"/>
    </xf>
    <xf numFmtId="164" fontId="0" fillId="0" borderId="0" xfId="2" applyNumberFormat="1" applyFont="1" applyAlignment="1">
      <alignment horizontal="left" wrapText="1"/>
    </xf>
    <xf numFmtId="164" fontId="0" fillId="0" borderId="0" xfId="2" applyNumberFormat="1" applyFont="1" applyAlignment="1">
      <alignment horizontal="left" vertical="justify" wrapText="1"/>
    </xf>
    <xf numFmtId="164" fontId="9" fillId="2" borderId="0" xfId="2" applyNumberFormat="1" applyFont="1" applyFill="1" applyAlignment="1">
      <alignment horizontal="center"/>
    </xf>
    <xf numFmtId="164" fontId="6" fillId="3" borderId="14" xfId="2" applyNumberFormat="1" applyFont="1" applyFill="1" applyBorder="1" applyAlignment="1">
      <alignment horizontal="left"/>
    </xf>
    <xf numFmtId="164" fontId="4" fillId="4" borderId="22" xfId="2" applyNumberFormat="1" applyFont="1" applyFill="1" applyBorder="1" applyAlignment="1">
      <alignment horizontal="center"/>
    </xf>
    <xf numFmtId="164" fontId="4" fillId="4" borderId="6" xfId="2" applyNumberFormat="1" applyFont="1" applyFill="1" applyBorder="1" applyAlignment="1">
      <alignment horizontal="center"/>
    </xf>
    <xf numFmtId="164" fontId="4" fillId="4" borderId="5" xfId="2" applyNumberFormat="1" applyFont="1" applyFill="1" applyBorder="1" applyAlignment="1">
      <alignment horizontal="center"/>
    </xf>
    <xf numFmtId="0" fontId="4" fillId="2" borderId="42" xfId="0" applyFont="1" applyFill="1" applyBorder="1" applyAlignment="1">
      <alignment horizontal="left" wrapText="1"/>
    </xf>
    <xf numFmtId="164" fontId="4" fillId="4" borderId="22" xfId="2" applyNumberFormat="1" applyFont="1" applyFill="1" applyBorder="1" applyAlignment="1">
      <alignment horizontal="left" wrapText="1"/>
    </xf>
    <xf numFmtId="164" fontId="4" fillId="4" borderId="6" xfId="2" applyNumberFormat="1" applyFont="1" applyFill="1" applyBorder="1" applyAlignment="1">
      <alignment horizontal="left" wrapText="1"/>
    </xf>
    <xf numFmtId="164" fontId="4" fillId="4" borderId="5" xfId="2" applyNumberFormat="1" applyFont="1" applyFill="1" applyBorder="1" applyAlignment="1">
      <alignment horizontal="left" wrapText="1"/>
    </xf>
    <xf numFmtId="164" fontId="6" fillId="3" borderId="1" xfId="2" applyNumberFormat="1" applyFont="1" applyFill="1" applyBorder="1" applyAlignment="1">
      <alignment horizontal="left"/>
    </xf>
    <xf numFmtId="164" fontId="4" fillId="4" borderId="1" xfId="2" applyNumberFormat="1" applyFont="1" applyFill="1" applyBorder="1" applyAlignment="1">
      <alignment horizontal="left"/>
    </xf>
    <xf numFmtId="164" fontId="6" fillId="2" borderId="1" xfId="2" applyNumberFormat="1" applyFont="1" applyFill="1" applyBorder="1" applyAlignment="1">
      <alignment horizontal="left"/>
    </xf>
    <xf numFmtId="164" fontId="4" fillId="2" borderId="15" xfId="2" applyNumberFormat="1" applyFont="1" applyFill="1" applyBorder="1" applyAlignment="1">
      <alignment horizontal="left" wrapText="1"/>
    </xf>
    <xf numFmtId="164" fontId="4" fillId="2" borderId="2" xfId="2" applyNumberFormat="1" applyFont="1" applyFill="1" applyBorder="1" applyAlignment="1">
      <alignment horizontal="left" wrapText="1"/>
    </xf>
    <xf numFmtId="164" fontId="4" fillId="2" borderId="8" xfId="2" applyNumberFormat="1" applyFont="1" applyFill="1" applyBorder="1" applyAlignment="1">
      <alignment horizontal="left" wrapText="1"/>
    </xf>
    <xf numFmtId="0" fontId="6" fillId="2" borderId="22" xfId="0" applyFont="1" applyFill="1" applyBorder="1" applyAlignment="1">
      <alignment horizontal="left"/>
    </xf>
    <xf numFmtId="0" fontId="6" fillId="2" borderId="6" xfId="0" applyFont="1" applyFill="1" applyBorder="1" applyAlignment="1">
      <alignment horizontal="left"/>
    </xf>
    <xf numFmtId="0" fontId="6" fillId="2" borderId="5" xfId="0" applyFont="1" applyFill="1" applyBorder="1" applyAlignment="1">
      <alignment horizontal="left"/>
    </xf>
    <xf numFmtId="0" fontId="4" fillId="4" borderId="22" xfId="0" applyFont="1" applyFill="1" applyBorder="1" applyAlignment="1">
      <alignment horizontal="center"/>
    </xf>
    <xf numFmtId="0" fontId="4" fillId="4" borderId="6" xfId="0" applyFont="1" applyFill="1" applyBorder="1" applyAlignment="1">
      <alignment horizontal="center"/>
    </xf>
    <xf numFmtId="0" fontId="4" fillId="4" borderId="5" xfId="0" applyFont="1" applyFill="1" applyBorder="1" applyAlignment="1">
      <alignment horizontal="center"/>
    </xf>
    <xf numFmtId="0" fontId="4" fillId="3" borderId="22" xfId="0" applyFont="1" applyFill="1" applyBorder="1" applyAlignment="1">
      <alignment horizontal="left" wrapText="1"/>
    </xf>
    <xf numFmtId="0" fontId="4" fillId="3" borderId="6" xfId="0" applyFont="1" applyFill="1" applyBorder="1" applyAlignment="1">
      <alignment horizontal="left" wrapText="1"/>
    </xf>
    <xf numFmtId="0" fontId="4" fillId="3" borderId="5" xfId="0" applyFont="1" applyFill="1" applyBorder="1" applyAlignment="1">
      <alignment horizontal="left" wrapText="1"/>
    </xf>
    <xf numFmtId="164" fontId="4" fillId="3" borderId="22" xfId="2" applyNumberFormat="1" applyFont="1" applyFill="1" applyBorder="1" applyAlignment="1">
      <alignment horizontal="left"/>
    </xf>
    <xf numFmtId="164" fontId="4" fillId="3" borderId="6" xfId="2" applyNumberFormat="1" applyFont="1" applyFill="1" applyBorder="1" applyAlignment="1">
      <alignment horizontal="left"/>
    </xf>
    <xf numFmtId="164" fontId="6" fillId="3" borderId="22" xfId="2" applyNumberFormat="1" applyFont="1" applyFill="1" applyBorder="1" applyAlignment="1">
      <alignment horizontal="left"/>
    </xf>
    <xf numFmtId="164" fontId="6" fillId="3" borderId="5" xfId="2" applyNumberFormat="1" applyFont="1" applyFill="1" applyBorder="1" applyAlignment="1">
      <alignment horizontal="left"/>
    </xf>
    <xf numFmtId="0" fontId="6" fillId="2" borderId="22" xfId="0" applyFont="1" applyFill="1" applyBorder="1" applyAlignment="1">
      <alignment horizontal="left" wrapText="1"/>
    </xf>
    <xf numFmtId="0" fontId="6" fillId="2" borderId="6" xfId="0" applyFont="1" applyFill="1" applyBorder="1" applyAlignment="1">
      <alignment horizontal="left" wrapText="1"/>
    </xf>
    <xf numFmtId="0" fontId="6" fillId="2" borderId="5" xfId="0" applyFont="1" applyFill="1" applyBorder="1" applyAlignment="1">
      <alignment horizontal="left" wrapText="1"/>
    </xf>
    <xf numFmtId="0" fontId="6" fillId="2" borderId="1" xfId="0" applyFont="1" applyFill="1" applyBorder="1" applyAlignment="1">
      <alignment horizontal="left"/>
    </xf>
    <xf numFmtId="0" fontId="4" fillId="2" borderId="22" xfId="0" applyFont="1" applyFill="1" applyBorder="1" applyAlignment="1">
      <alignment horizontal="left" wrapText="1"/>
    </xf>
    <xf numFmtId="0" fontId="4" fillId="2" borderId="6" xfId="0" applyFont="1" applyFill="1" applyBorder="1" applyAlignment="1">
      <alignment horizontal="left" wrapText="1"/>
    </xf>
    <xf numFmtId="0" fontId="4" fillId="2" borderId="5" xfId="0" applyFont="1" applyFill="1" applyBorder="1" applyAlignment="1">
      <alignment horizontal="left" wrapText="1"/>
    </xf>
    <xf numFmtId="0" fontId="4" fillId="4" borderId="1" xfId="0" applyFont="1" applyFill="1" applyBorder="1" applyAlignment="1">
      <alignment horizontal="center" wrapText="1"/>
    </xf>
    <xf numFmtId="0" fontId="6" fillId="3" borderId="1" xfId="0" applyFont="1" applyFill="1" applyBorder="1" applyAlignment="1">
      <alignment horizontal="left" wrapText="1"/>
    </xf>
    <xf numFmtId="0" fontId="6" fillId="2" borderId="41" xfId="0" applyFont="1" applyFill="1" applyBorder="1" applyAlignment="1">
      <alignment horizontal="left"/>
    </xf>
    <xf numFmtId="0" fontId="6" fillId="2" borderId="42" xfId="0" applyFont="1" applyFill="1" applyBorder="1" applyAlignment="1">
      <alignment horizontal="left"/>
    </xf>
    <xf numFmtId="0" fontId="6" fillId="2" borderId="23" xfId="0" applyFont="1" applyFill="1" applyBorder="1" applyAlignment="1">
      <alignment horizontal="left"/>
    </xf>
    <xf numFmtId="0" fontId="6" fillId="3" borderId="22" xfId="0" applyFont="1" applyFill="1" applyBorder="1" applyAlignment="1">
      <alignment horizontal="left" wrapText="1"/>
    </xf>
    <xf numFmtId="0" fontId="6" fillId="3" borderId="6" xfId="0" applyFont="1" applyFill="1" applyBorder="1" applyAlignment="1">
      <alignment horizontal="left" wrapText="1"/>
    </xf>
    <xf numFmtId="0" fontId="6" fillId="3" borderId="5" xfId="0" applyFont="1" applyFill="1" applyBorder="1" applyAlignment="1">
      <alignment horizontal="left" wrapText="1"/>
    </xf>
    <xf numFmtId="0" fontId="4" fillId="2" borderId="22" xfId="0" applyFont="1" applyFill="1" applyBorder="1" applyAlignment="1">
      <alignment horizontal="left"/>
    </xf>
    <xf numFmtId="0" fontId="4" fillId="2" borderId="6" xfId="0" applyFont="1" applyFill="1" applyBorder="1" applyAlignment="1">
      <alignment horizontal="left"/>
    </xf>
    <xf numFmtId="0" fontId="4" fillId="2" borderId="5" xfId="0" applyFont="1" applyFill="1" applyBorder="1" applyAlignment="1">
      <alignment horizontal="left"/>
    </xf>
    <xf numFmtId="0" fontId="6" fillId="2" borderId="15" xfId="0" applyFont="1" applyFill="1" applyBorder="1" applyAlignment="1">
      <alignment horizontal="left"/>
    </xf>
    <xf numFmtId="0" fontId="6" fillId="2" borderId="2" xfId="0" applyFont="1" applyFill="1" applyBorder="1" applyAlignment="1">
      <alignment horizontal="left"/>
    </xf>
    <xf numFmtId="0" fontId="6" fillId="2" borderId="8" xfId="0" applyFont="1" applyFill="1" applyBorder="1" applyAlignment="1">
      <alignment horizontal="left"/>
    </xf>
    <xf numFmtId="0" fontId="6" fillId="2" borderId="27" xfId="0" applyFont="1" applyFill="1" applyBorder="1" applyAlignment="1">
      <alignment horizontal="left" wrapText="1"/>
    </xf>
    <xf numFmtId="0" fontId="6" fillId="2" borderId="59" xfId="0" applyFont="1" applyFill="1" applyBorder="1" applyAlignment="1">
      <alignment horizontal="left" wrapText="1"/>
    </xf>
    <xf numFmtId="0" fontId="6" fillId="2" borderId="18" xfId="0" applyFont="1" applyFill="1" applyBorder="1" applyAlignment="1">
      <alignment horizontal="left" wrapText="1"/>
    </xf>
    <xf numFmtId="0" fontId="6" fillId="3" borderId="22" xfId="0" applyFont="1" applyFill="1" applyBorder="1" applyAlignment="1">
      <alignment horizontal="left"/>
    </xf>
    <xf numFmtId="0" fontId="6" fillId="3" borderId="6" xfId="0" applyFont="1" applyFill="1" applyBorder="1" applyAlignment="1">
      <alignment horizontal="left"/>
    </xf>
    <xf numFmtId="0" fontId="6" fillId="3" borderId="5" xfId="0" applyFont="1" applyFill="1" applyBorder="1" applyAlignment="1">
      <alignment horizontal="left"/>
    </xf>
    <xf numFmtId="0" fontId="4" fillId="3" borderId="22" xfId="0" applyFont="1" applyFill="1" applyBorder="1" applyAlignment="1">
      <alignment horizontal="left"/>
    </xf>
    <xf numFmtId="0" fontId="4" fillId="3" borderId="6" xfId="0" applyFont="1" applyFill="1" applyBorder="1" applyAlignment="1">
      <alignment horizontal="left"/>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9" xfId="0" applyFont="1" applyFill="1" applyBorder="1" applyAlignment="1">
      <alignment horizontal="center" wrapText="1"/>
    </xf>
    <xf numFmtId="164" fontId="6" fillId="2" borderId="22" xfId="2" applyNumberFormat="1" applyFont="1" applyFill="1" applyBorder="1" applyAlignment="1">
      <alignment horizontal="left" wrapText="1"/>
    </xf>
    <xf numFmtId="164" fontId="6" fillId="2" borderId="6" xfId="2" applyNumberFormat="1" applyFont="1" applyFill="1" applyBorder="1" applyAlignment="1">
      <alignment horizontal="left" wrapText="1"/>
    </xf>
    <xf numFmtId="164" fontId="6" fillId="2" borderId="5" xfId="2" applyNumberFormat="1" applyFont="1" applyFill="1" applyBorder="1" applyAlignment="1">
      <alignment horizontal="left" wrapText="1"/>
    </xf>
    <xf numFmtId="0" fontId="6" fillId="2" borderId="41" xfId="0" applyFont="1" applyFill="1" applyBorder="1" applyAlignment="1">
      <alignment horizontal="left" wrapText="1"/>
    </xf>
    <xf numFmtId="0" fontId="6" fillId="2" borderId="42" xfId="0" applyFont="1" applyFill="1" applyBorder="1" applyAlignment="1">
      <alignment horizontal="left" wrapText="1"/>
    </xf>
    <xf numFmtId="0" fontId="6" fillId="2" borderId="23" xfId="0" applyFont="1" applyFill="1" applyBorder="1" applyAlignment="1">
      <alignment horizontal="left" wrapText="1"/>
    </xf>
    <xf numFmtId="0" fontId="4" fillId="3" borderId="51" xfId="0" applyFont="1" applyFill="1" applyBorder="1" applyAlignment="1">
      <alignment horizontal="left"/>
    </xf>
    <xf numFmtId="0" fontId="4" fillId="3" borderId="21" xfId="0" applyFont="1" applyFill="1" applyBorder="1" applyAlignment="1">
      <alignment horizontal="left"/>
    </xf>
    <xf numFmtId="0" fontId="4" fillId="3" borderId="24" xfId="0" applyFont="1" applyFill="1" applyBorder="1" applyAlignment="1">
      <alignment horizontal="left"/>
    </xf>
    <xf numFmtId="0" fontId="4" fillId="3" borderId="1" xfId="0" applyFont="1" applyFill="1" applyBorder="1" applyAlignment="1">
      <alignment horizontal="left"/>
    </xf>
    <xf numFmtId="164" fontId="4" fillId="3" borderId="15" xfId="2" applyNumberFormat="1" applyFont="1" applyFill="1" applyBorder="1" applyAlignment="1">
      <alignment horizontal="left" wrapText="1"/>
    </xf>
    <xf numFmtId="164" fontId="4" fillId="3" borderId="2" xfId="2" applyNumberFormat="1" applyFont="1" applyFill="1" applyBorder="1" applyAlignment="1">
      <alignment horizontal="left" wrapText="1"/>
    </xf>
    <xf numFmtId="164" fontId="4" fillId="3" borderId="8" xfId="2" applyNumberFormat="1" applyFont="1" applyFill="1" applyBorder="1" applyAlignment="1">
      <alignment horizontal="left" wrapText="1"/>
    </xf>
    <xf numFmtId="0" fontId="4" fillId="3" borderId="5" xfId="0" applyFont="1" applyFill="1" applyBorder="1" applyAlignment="1">
      <alignment horizontal="left"/>
    </xf>
    <xf numFmtId="0" fontId="6" fillId="2" borderId="15" xfId="0" applyFont="1" applyFill="1" applyBorder="1" applyAlignment="1">
      <alignment horizontal="left" wrapText="1"/>
    </xf>
    <xf numFmtId="0" fontId="6" fillId="2" borderId="2" xfId="0" applyFont="1" applyFill="1" applyBorder="1" applyAlignment="1">
      <alignment horizontal="left" wrapText="1"/>
    </xf>
    <xf numFmtId="0" fontId="6" fillId="2" borderId="8" xfId="0" applyFont="1" applyFill="1" applyBorder="1" applyAlignment="1">
      <alignment horizontal="left" wrapText="1"/>
    </xf>
    <xf numFmtId="0" fontId="4" fillId="2" borderId="1" xfId="0" applyFont="1" applyFill="1" applyBorder="1" applyAlignment="1">
      <alignment horizontal="center" wrapText="1"/>
    </xf>
    <xf numFmtId="0" fontId="4" fillId="4" borderId="22" xfId="0" applyFont="1" applyFill="1" applyBorder="1" applyAlignment="1">
      <alignment horizontal="center" wrapText="1"/>
    </xf>
    <xf numFmtId="0" fontId="4" fillId="4" borderId="6" xfId="0" applyFont="1" applyFill="1" applyBorder="1" applyAlignment="1">
      <alignment horizontal="center" wrapText="1"/>
    </xf>
    <xf numFmtId="0" fontId="4" fillId="4" borderId="5" xfId="0" applyFont="1" applyFill="1" applyBorder="1" applyAlignment="1">
      <alignment horizontal="center" wrapText="1"/>
    </xf>
    <xf numFmtId="164" fontId="6" fillId="2" borderId="14" xfId="2" applyNumberFormat="1" applyFont="1" applyFill="1" applyBorder="1" applyAlignment="1">
      <alignment horizontal="left"/>
    </xf>
    <xf numFmtId="164" fontId="4" fillId="3" borderId="15" xfId="2" applyNumberFormat="1" applyFont="1" applyFill="1" applyBorder="1" applyAlignment="1">
      <alignment horizontal="left"/>
    </xf>
    <xf numFmtId="164" fontId="4" fillId="3" borderId="2" xfId="2" applyNumberFormat="1" applyFont="1" applyFill="1" applyBorder="1" applyAlignment="1">
      <alignment horizontal="left"/>
    </xf>
    <xf numFmtId="164" fontId="4" fillId="4" borderId="22" xfId="2" applyNumberFormat="1" applyFont="1" applyFill="1" applyBorder="1" applyAlignment="1">
      <alignment horizontal="left"/>
    </xf>
    <xf numFmtId="164" fontId="4" fillId="4" borderId="6" xfId="2" applyNumberFormat="1" applyFont="1" applyFill="1" applyBorder="1" applyAlignment="1">
      <alignment horizontal="left"/>
    </xf>
    <xf numFmtId="164" fontId="4" fillId="4" borderId="5" xfId="2" applyNumberFormat="1" applyFont="1" applyFill="1" applyBorder="1" applyAlignment="1">
      <alignment horizontal="left"/>
    </xf>
    <xf numFmtId="0" fontId="4" fillId="2" borderId="2" xfId="0" applyFont="1" applyFill="1" applyBorder="1" applyAlignment="1">
      <alignment horizontal="left" wrapText="1"/>
    </xf>
    <xf numFmtId="164" fontId="4" fillId="3" borderId="14" xfId="2" applyNumberFormat="1" applyFont="1" applyFill="1" applyBorder="1" applyAlignment="1">
      <alignment horizontal="left" wrapText="1"/>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23" xfId="0" applyFont="1" applyFill="1" applyBorder="1" applyAlignment="1">
      <alignment horizontal="center"/>
    </xf>
    <xf numFmtId="0" fontId="4" fillId="2" borderId="15" xfId="0" applyFont="1" applyFill="1" applyBorder="1" applyAlignment="1">
      <alignment horizontal="center"/>
    </xf>
    <xf numFmtId="0" fontId="4" fillId="2" borderId="2" xfId="0" applyFont="1" applyFill="1" applyBorder="1" applyAlignment="1">
      <alignment horizontal="center"/>
    </xf>
    <xf numFmtId="0" fontId="4" fillId="2" borderId="8" xfId="0" applyFont="1" applyFill="1" applyBorder="1" applyAlignment="1">
      <alignment horizontal="center"/>
    </xf>
    <xf numFmtId="0" fontId="4" fillId="2" borderId="6" xfId="0" applyFont="1" applyFill="1" applyBorder="1" applyAlignment="1">
      <alignment horizontal="center"/>
    </xf>
    <xf numFmtId="0" fontId="4" fillId="2" borderId="5" xfId="0" applyFont="1" applyFill="1" applyBorder="1" applyAlignment="1">
      <alignment horizontal="center"/>
    </xf>
    <xf numFmtId="0" fontId="31" fillId="15" borderId="4" xfId="7" applyFont="1" applyFill="1" applyBorder="1" applyAlignment="1">
      <alignment horizontal="center"/>
    </xf>
    <xf numFmtId="0" fontId="34" fillId="13" borderId="0" xfId="7" applyFont="1" applyFill="1" applyBorder="1" applyAlignment="1"/>
    <xf numFmtId="0" fontId="31" fillId="13" borderId="22" xfId="7" applyFont="1" applyFill="1" applyBorder="1" applyAlignment="1">
      <alignment wrapText="1"/>
    </xf>
    <xf numFmtId="0" fontId="9" fillId="28" borderId="1" xfId="7" applyFont="1" applyFill="1" applyBorder="1" applyAlignment="1">
      <alignment wrapText="1"/>
    </xf>
    <xf numFmtId="0" fontId="31" fillId="28" borderId="1" xfId="7" applyFont="1" applyFill="1" applyBorder="1" applyAlignment="1">
      <alignment wrapText="1"/>
    </xf>
    <xf numFmtId="164" fontId="31" fillId="28" borderId="1" xfId="8" applyNumberFormat="1" applyFont="1" applyFill="1" applyBorder="1" applyAlignment="1">
      <alignment wrapText="1"/>
    </xf>
    <xf numFmtId="164" fontId="33" fillId="28" borderId="1" xfId="8" applyNumberFormat="1" applyFont="1" applyFill="1" applyBorder="1" applyAlignment="1">
      <alignment wrapText="1"/>
    </xf>
    <xf numFmtId="0" fontId="9" fillId="28" borderId="1" xfId="7" applyFont="1" applyFill="1" applyBorder="1" applyAlignment="1">
      <alignment horizontal="left" wrapText="1"/>
    </xf>
    <xf numFmtId="0" fontId="31" fillId="28" borderId="1" xfId="7" applyFont="1" applyFill="1" applyBorder="1" applyAlignment="1">
      <alignment horizontal="left" wrapText="1"/>
    </xf>
    <xf numFmtId="164" fontId="34" fillId="0" borderId="22" xfId="8" quotePrefix="1" applyNumberFormat="1" applyFont="1" applyFill="1" applyBorder="1" applyAlignment="1">
      <alignment wrapText="1"/>
    </xf>
    <xf numFmtId="0" fontId="34" fillId="15" borderId="22" xfId="7" applyFont="1" applyFill="1" applyBorder="1" applyAlignment="1">
      <alignment wrapText="1"/>
    </xf>
    <xf numFmtId="0" fontId="33" fillId="15" borderId="22" xfId="7" applyFont="1" applyFill="1" applyBorder="1" applyAlignment="1">
      <alignment wrapText="1"/>
    </xf>
    <xf numFmtId="164" fontId="33" fillId="15" borderId="22" xfId="8" applyNumberFormat="1" applyFont="1" applyFill="1" applyBorder="1" applyAlignment="1">
      <alignment wrapText="1"/>
    </xf>
    <xf numFmtId="164" fontId="38" fillId="15" borderId="22" xfId="8" applyNumberFormat="1" applyFont="1" applyFill="1" applyBorder="1" applyAlignment="1">
      <alignment wrapText="1"/>
    </xf>
    <xf numFmtId="164" fontId="38" fillId="15" borderId="1" xfId="8" applyNumberFormat="1" applyFont="1" applyFill="1" applyBorder="1" applyAlignment="1">
      <alignment wrapText="1"/>
    </xf>
    <xf numFmtId="164" fontId="34" fillId="15" borderId="17" xfId="8" applyNumberFormat="1" applyFont="1" applyFill="1" applyBorder="1" applyAlignment="1">
      <alignment wrapText="1"/>
    </xf>
    <xf numFmtId="0" fontId="9" fillId="15" borderId="0" xfId="7" applyFont="1" applyFill="1"/>
    <xf numFmtId="0" fontId="9" fillId="0" borderId="1" xfId="7" applyFont="1" applyFill="1" applyBorder="1" applyAlignment="1">
      <alignment vertical="top" wrapText="1"/>
    </xf>
    <xf numFmtId="0" fontId="34" fillId="0" borderId="1" xfId="7" applyFont="1" applyFill="1" applyBorder="1" applyAlignment="1">
      <alignment vertical="top" wrapText="1"/>
    </xf>
    <xf numFmtId="164" fontId="9" fillId="28" borderId="22" xfId="10" applyNumberFormat="1" applyFont="1" applyFill="1" applyBorder="1" applyAlignment="1">
      <alignment wrapText="1"/>
    </xf>
    <xf numFmtId="164" fontId="31" fillId="28" borderId="22" xfId="10" applyNumberFormat="1" applyFont="1" applyFill="1" applyBorder="1" applyAlignment="1">
      <alignment wrapText="1"/>
    </xf>
    <xf numFmtId="0" fontId="9" fillId="29" borderId="1" xfId="7" applyFont="1" applyFill="1" applyBorder="1" applyAlignment="1">
      <alignment wrapText="1"/>
    </xf>
    <xf numFmtId="0" fontId="31" fillId="29" borderId="1" xfId="7" applyFont="1" applyFill="1" applyBorder="1" applyAlignment="1">
      <alignment wrapText="1"/>
    </xf>
    <xf numFmtId="0" fontId="9" fillId="29" borderId="5" xfId="7" applyFont="1" applyFill="1" applyBorder="1" applyAlignment="1">
      <alignment wrapText="1"/>
    </xf>
    <xf numFmtId="164" fontId="9" fillId="29" borderId="1" xfId="8" applyNumberFormat="1" applyFont="1" applyFill="1" applyBorder="1" applyAlignment="1">
      <alignment wrapText="1"/>
    </xf>
    <xf numFmtId="164" fontId="31" fillId="29" borderId="1" xfId="7" applyNumberFormat="1" applyFont="1" applyFill="1" applyBorder="1" applyAlignment="1">
      <alignment wrapText="1"/>
    </xf>
    <xf numFmtId="0" fontId="9" fillId="30" borderId="1" xfId="7" applyFont="1" applyFill="1" applyBorder="1" applyAlignment="1">
      <alignment wrapText="1"/>
    </xf>
    <xf numFmtId="0" fontId="31" fillId="30" borderId="1" xfId="7" applyFont="1" applyFill="1" applyBorder="1" applyAlignment="1">
      <alignment wrapText="1"/>
    </xf>
    <xf numFmtId="0" fontId="34" fillId="30" borderId="1" xfId="7" applyFont="1" applyFill="1" applyBorder="1" applyAlignment="1">
      <alignment wrapText="1"/>
    </xf>
    <xf numFmtId="0" fontId="33" fillId="30" borderId="1" xfId="7" applyFont="1" applyFill="1" applyBorder="1" applyAlignment="1">
      <alignment wrapText="1"/>
    </xf>
    <xf numFmtId="2" fontId="9" fillId="13" borderId="0" xfId="7" applyNumberFormat="1" applyFont="1" applyFill="1"/>
    <xf numFmtId="0" fontId="9" fillId="29" borderId="22" xfId="7" applyFont="1" applyFill="1" applyBorder="1" applyAlignment="1">
      <alignment wrapText="1"/>
    </xf>
    <xf numFmtId="0" fontId="31" fillId="29" borderId="22" xfId="7" applyFont="1" applyFill="1" applyBorder="1" applyAlignment="1">
      <alignment wrapText="1"/>
    </xf>
    <xf numFmtId="0" fontId="34" fillId="29" borderId="1" xfId="7" applyFont="1" applyFill="1" applyBorder="1" applyAlignment="1">
      <alignment wrapText="1"/>
    </xf>
    <xf numFmtId="0" fontId="33" fillId="29" borderId="1" xfId="7" applyFont="1" applyFill="1" applyBorder="1" applyAlignment="1">
      <alignment wrapText="1"/>
    </xf>
    <xf numFmtId="0" fontId="9" fillId="29" borderId="17" xfId="7" applyFont="1" applyFill="1" applyBorder="1" applyAlignment="1">
      <alignment wrapText="1"/>
    </xf>
    <xf numFmtId="0" fontId="31" fillId="29" borderId="17" xfId="7" applyFont="1" applyFill="1" applyBorder="1" applyAlignment="1">
      <alignment wrapText="1"/>
    </xf>
    <xf numFmtId="0" fontId="9" fillId="29" borderId="4" xfId="7" applyFont="1" applyFill="1" applyBorder="1" applyAlignment="1">
      <alignment wrapText="1"/>
    </xf>
    <xf numFmtId="0" fontId="31" fillId="29" borderId="4" xfId="7" applyFont="1" applyFill="1" applyBorder="1" applyAlignment="1">
      <alignment wrapText="1"/>
    </xf>
    <xf numFmtId="0" fontId="9" fillId="13" borderId="15" xfId="7" applyFont="1" applyFill="1" applyBorder="1" applyAlignment="1">
      <alignment wrapText="1"/>
    </xf>
    <xf numFmtId="0" fontId="31" fillId="13" borderId="15" xfId="7" applyFont="1" applyFill="1" applyBorder="1" applyAlignment="1">
      <alignment wrapText="1"/>
    </xf>
    <xf numFmtId="0" fontId="19" fillId="31" borderId="0" xfId="0" applyFont="1" applyFill="1" applyAlignment="1">
      <alignment horizontal="left" vertical="top"/>
    </xf>
    <xf numFmtId="0" fontId="41" fillId="31" borderId="0" xfId="0" applyFont="1" applyFill="1" applyAlignment="1">
      <alignment vertical="center" wrapText="1"/>
    </xf>
    <xf numFmtId="0" fontId="41" fillId="31" borderId="0" xfId="0" applyFont="1" applyFill="1" applyAlignment="1">
      <alignment horizontal="center" vertical="top"/>
    </xf>
    <xf numFmtId="0" fontId="41" fillId="31" borderId="0" xfId="0" applyFont="1" applyFill="1" applyBorder="1" applyAlignment="1">
      <alignment horizontal="center" vertical="center"/>
    </xf>
    <xf numFmtId="0" fontId="41" fillId="31" borderId="0" xfId="0" applyFont="1" applyFill="1" applyAlignment="1">
      <alignment horizontal="left" vertical="top"/>
    </xf>
    <xf numFmtId="0" fontId="42" fillId="32" borderId="0" xfId="0" applyFont="1" applyFill="1" applyAlignment="1">
      <alignment horizontal="center" vertical="center" wrapText="1"/>
    </xf>
    <xf numFmtId="0" fontId="43" fillId="32" borderId="0" xfId="0" applyFont="1" applyFill="1" applyAlignment="1">
      <alignment horizontal="center" vertical="center" wrapText="1"/>
    </xf>
    <xf numFmtId="0" fontId="0" fillId="0" borderId="0" xfId="0" applyAlignment="1">
      <alignment vertical="center" wrapText="1"/>
    </xf>
    <xf numFmtId="0" fontId="39" fillId="33" borderId="1" xfId="0" applyFont="1" applyFill="1" applyBorder="1" applyAlignment="1">
      <alignment horizontal="left" vertical="top"/>
    </xf>
    <xf numFmtId="0" fontId="44" fillId="33" borderId="26" xfId="0" applyFont="1" applyFill="1" applyBorder="1" applyAlignment="1">
      <alignment vertical="center" wrapText="1"/>
    </xf>
    <xf numFmtId="0" fontId="39" fillId="33" borderId="1" xfId="0" applyFont="1" applyFill="1" applyBorder="1" applyAlignment="1">
      <alignment horizontal="center" vertical="top"/>
    </xf>
    <xf numFmtId="0" fontId="41" fillId="31" borderId="1" xfId="0" applyFont="1" applyFill="1" applyBorder="1" applyAlignment="1">
      <alignment horizontal="center" vertical="center"/>
    </xf>
    <xf numFmtId="4" fontId="45" fillId="31" borderId="1" xfId="0" applyNumberFormat="1" applyFont="1" applyFill="1" applyBorder="1" applyAlignment="1">
      <alignment horizontal="left" vertical="top"/>
    </xf>
    <xf numFmtId="0" fontId="39" fillId="31" borderId="1" xfId="0" applyFont="1" applyFill="1" applyBorder="1" applyAlignment="1">
      <alignment horizontal="left" vertical="top"/>
    </xf>
    <xf numFmtId="0" fontId="46" fillId="34" borderId="28" xfId="0" applyFont="1" applyFill="1" applyBorder="1" applyAlignment="1">
      <alignment vertical="center" wrapText="1"/>
    </xf>
    <xf numFmtId="4" fontId="45" fillId="13" borderId="1" xfId="0" applyNumberFormat="1" applyFont="1" applyFill="1" applyBorder="1" applyAlignment="1">
      <alignment horizontal="left" vertical="top"/>
    </xf>
    <xf numFmtId="0" fontId="39" fillId="13" borderId="1" xfId="0" applyFont="1" applyFill="1" applyBorder="1" applyAlignment="1">
      <alignment horizontal="left" vertical="top"/>
    </xf>
    <xf numFmtId="0" fontId="47" fillId="35" borderId="28" xfId="0" applyFont="1" applyFill="1" applyBorder="1" applyAlignment="1">
      <alignment vertical="center" wrapText="1"/>
    </xf>
    <xf numFmtId="0" fontId="41" fillId="13" borderId="1" xfId="0" applyFont="1" applyFill="1" applyBorder="1" applyAlignment="1">
      <alignment horizontal="center" vertical="center"/>
    </xf>
    <xf numFmtId="0" fontId="41" fillId="13" borderId="0" xfId="0" applyFont="1" applyFill="1" applyBorder="1" applyAlignment="1">
      <alignment horizontal="center" vertical="center"/>
    </xf>
    <xf numFmtId="0" fontId="44" fillId="33" borderId="28" xfId="0" applyFont="1" applyFill="1" applyBorder="1" applyAlignment="1">
      <alignment vertical="center" wrapText="1"/>
    </xf>
    <xf numFmtId="0" fontId="46" fillId="35" borderId="28" xfId="0" applyFont="1" applyFill="1" applyBorder="1" applyAlignment="1">
      <alignment vertical="center" wrapText="1"/>
    </xf>
    <xf numFmtId="0" fontId="39" fillId="14" borderId="1" xfId="0" applyFont="1" applyFill="1" applyBorder="1" applyAlignment="1">
      <alignment horizontal="center" vertical="top"/>
    </xf>
    <xf numFmtId="4" fontId="45" fillId="13" borderId="17" xfId="0" applyNumberFormat="1" applyFont="1" applyFill="1" applyBorder="1" applyAlignment="1">
      <alignment horizontal="left" vertical="top"/>
    </xf>
    <xf numFmtId="0" fontId="39" fillId="31" borderId="17" xfId="0" applyFont="1" applyFill="1" applyBorder="1" applyAlignment="1">
      <alignment horizontal="left" vertical="top"/>
    </xf>
    <xf numFmtId="0" fontId="46" fillId="34" borderId="36" xfId="0" applyFont="1" applyFill="1" applyBorder="1" applyAlignment="1">
      <alignment vertical="center" wrapText="1"/>
    </xf>
    <xf numFmtId="0" fontId="39" fillId="33" borderId="17" xfId="0" applyFont="1" applyFill="1" applyBorder="1" applyAlignment="1">
      <alignment horizontal="center" vertical="top"/>
    </xf>
    <xf numFmtId="0" fontId="41" fillId="31" borderId="17" xfId="0" applyFont="1" applyFill="1" applyBorder="1" applyAlignment="1">
      <alignment horizontal="center" vertical="center"/>
    </xf>
    <xf numFmtId="0" fontId="44" fillId="33" borderId="62" xfId="0" applyFont="1" applyFill="1" applyBorder="1" applyAlignment="1">
      <alignment vertical="center" wrapText="1"/>
    </xf>
    <xf numFmtId="0" fontId="41" fillId="31" borderId="6" xfId="0" applyFont="1" applyFill="1" applyBorder="1" applyAlignment="1">
      <alignment horizontal="center" vertical="center"/>
    </xf>
    <xf numFmtId="0" fontId="0" fillId="0" borderId="6" xfId="0" applyBorder="1"/>
    <xf numFmtId="4" fontId="45" fillId="31" borderId="4" xfId="0" applyNumberFormat="1" applyFont="1" applyFill="1" applyBorder="1" applyAlignment="1">
      <alignment horizontal="left" vertical="top"/>
    </xf>
    <xf numFmtId="0" fontId="39" fillId="31" borderId="4" xfId="0" applyFont="1" applyFill="1" applyBorder="1" applyAlignment="1">
      <alignment horizontal="left" vertical="top"/>
    </xf>
    <xf numFmtId="0" fontId="39" fillId="33" borderId="4" xfId="0" applyFont="1" applyFill="1" applyBorder="1" applyAlignment="1">
      <alignment horizontal="center" vertical="top"/>
    </xf>
    <xf numFmtId="0" fontId="41" fillId="31" borderId="4" xfId="0" applyFont="1" applyFill="1" applyBorder="1" applyAlignment="1">
      <alignment horizontal="center" vertical="center"/>
    </xf>
    <xf numFmtId="0" fontId="39" fillId="0" borderId="1" xfId="0" applyFont="1" applyFill="1" applyBorder="1" applyAlignment="1">
      <alignment horizontal="left" vertical="top"/>
    </xf>
    <xf numFmtId="0" fontId="46" fillId="0" borderId="28" xfId="0" applyFont="1" applyFill="1" applyBorder="1" applyAlignment="1">
      <alignment vertical="center" wrapText="1"/>
    </xf>
    <xf numFmtId="4" fontId="48" fillId="31" borderId="1" xfId="0" applyNumberFormat="1" applyFont="1" applyFill="1" applyBorder="1" applyAlignment="1">
      <alignment horizontal="left" vertical="top"/>
    </xf>
    <xf numFmtId="0" fontId="47" fillId="34" borderId="28" xfId="0" applyFont="1" applyFill="1" applyBorder="1" applyAlignment="1">
      <alignment vertical="center" wrapText="1"/>
    </xf>
    <xf numFmtId="0" fontId="49" fillId="34" borderId="28" xfId="0" applyFont="1" applyFill="1" applyBorder="1" applyAlignment="1">
      <alignment vertical="center" wrapText="1"/>
    </xf>
    <xf numFmtId="4" fontId="45" fillId="0" borderId="1" xfId="0" applyNumberFormat="1" applyFont="1" applyFill="1" applyBorder="1" applyAlignment="1">
      <alignment horizontal="left" vertical="top"/>
    </xf>
    <xf numFmtId="0" fontId="50" fillId="34" borderId="28" xfId="0" applyFont="1" applyFill="1" applyBorder="1" applyAlignment="1">
      <alignment vertical="center" wrapText="1"/>
    </xf>
    <xf numFmtId="0" fontId="51" fillId="35" borderId="28" xfId="0" applyFont="1" applyFill="1" applyBorder="1" applyAlignment="1">
      <alignment horizontal="justify" vertical="center"/>
    </xf>
    <xf numFmtId="0" fontId="41" fillId="33" borderId="1" xfId="0" applyFont="1" applyFill="1" applyBorder="1" applyAlignment="1">
      <alignment horizontal="center" vertical="center"/>
    </xf>
    <xf numFmtId="0" fontId="41" fillId="33" borderId="6" xfId="0" applyFont="1" applyFill="1" applyBorder="1" applyAlignment="1">
      <alignment horizontal="center" vertical="center"/>
    </xf>
    <xf numFmtId="0" fontId="0" fillId="33" borderId="6" xfId="0" applyFill="1" applyBorder="1"/>
    <xf numFmtId="0" fontId="44" fillId="0" borderId="28" xfId="0" applyFont="1" applyFill="1" applyBorder="1" applyAlignment="1">
      <alignment vertical="center" wrapText="1"/>
    </xf>
    <xf numFmtId="0" fontId="18" fillId="33" borderId="28" xfId="0" applyFont="1" applyFill="1" applyBorder="1" applyAlignment="1">
      <alignment vertical="center" wrapText="1"/>
    </xf>
    <xf numFmtId="0" fontId="46" fillId="0" borderId="28" xfId="0" applyFont="1" applyBorder="1" applyAlignment="1">
      <alignment vertical="center" wrapText="1"/>
    </xf>
    <xf numFmtId="0" fontId="39" fillId="0" borderId="4" xfId="0" applyFont="1" applyFill="1" applyBorder="1" applyAlignment="1">
      <alignment horizontal="left" vertical="top"/>
    </xf>
    <xf numFmtId="0" fontId="0" fillId="33" borderId="0" xfId="0" applyFill="1"/>
    <xf numFmtId="0" fontId="39" fillId="33" borderId="4" xfId="0" applyFont="1" applyFill="1" applyBorder="1" applyAlignment="1">
      <alignment horizontal="left" vertical="top"/>
    </xf>
    <xf numFmtId="4" fontId="45" fillId="33" borderId="1" xfId="0" applyNumberFormat="1" applyFont="1" applyFill="1" applyBorder="1" applyAlignment="1">
      <alignment horizontal="left" vertical="top"/>
    </xf>
    <xf numFmtId="0" fontId="41" fillId="33" borderId="0" xfId="0" applyFont="1" applyFill="1" applyBorder="1" applyAlignment="1">
      <alignment horizontal="center" vertical="center"/>
    </xf>
    <xf numFmtId="3" fontId="45" fillId="13" borderId="1" xfId="0" applyNumberFormat="1" applyFont="1" applyFill="1" applyBorder="1" applyAlignment="1">
      <alignment horizontal="left" vertical="top"/>
    </xf>
    <xf numFmtId="0" fontId="52" fillId="35" borderId="28" xfId="0" applyFont="1" applyFill="1" applyBorder="1" applyAlignment="1">
      <alignment vertical="center" wrapText="1"/>
    </xf>
    <xf numFmtId="0" fontId="39" fillId="13" borderId="1" xfId="0" applyFont="1" applyFill="1" applyBorder="1" applyAlignment="1">
      <alignment horizontal="center" vertical="top"/>
    </xf>
    <xf numFmtId="0" fontId="0" fillId="13" borderId="0" xfId="0" applyFill="1"/>
    <xf numFmtId="0" fontId="46" fillId="36" borderId="28" xfId="0" applyFont="1" applyFill="1" applyBorder="1" applyAlignment="1">
      <alignment vertical="center" wrapText="1"/>
    </xf>
    <xf numFmtId="4" fontId="45" fillId="37" borderId="1" xfId="0" applyNumberFormat="1" applyFont="1" applyFill="1" applyBorder="1" applyAlignment="1">
      <alignment horizontal="left" vertical="top"/>
    </xf>
    <xf numFmtId="0" fontId="45" fillId="31" borderId="1" xfId="0" applyFont="1" applyFill="1" applyBorder="1" applyAlignment="1">
      <alignment horizontal="left" vertical="center" wrapText="1"/>
    </xf>
    <xf numFmtId="4" fontId="50" fillId="31" borderId="1" xfId="0" applyNumberFormat="1" applyFont="1" applyFill="1" applyBorder="1" applyAlignment="1">
      <alignment horizontal="left" vertical="top"/>
    </xf>
    <xf numFmtId="3" fontId="45" fillId="33" borderId="1" xfId="0" applyNumberFormat="1" applyFont="1" applyFill="1" applyBorder="1" applyAlignment="1">
      <alignment horizontal="left" vertical="top"/>
    </xf>
    <xf numFmtId="0" fontId="52" fillId="33" borderId="28" xfId="0" applyFont="1" applyFill="1" applyBorder="1" applyAlignment="1">
      <alignment vertical="center" wrapText="1"/>
    </xf>
    <xf numFmtId="3" fontId="45" fillId="31" borderId="1" xfId="0" applyNumberFormat="1" applyFont="1" applyFill="1" applyBorder="1" applyAlignment="1">
      <alignment horizontal="left" vertical="top"/>
    </xf>
    <xf numFmtId="0" fontId="44" fillId="33" borderId="28" xfId="0" applyFont="1" applyFill="1" applyBorder="1" applyAlignment="1">
      <alignment vertical="center"/>
    </xf>
    <xf numFmtId="3" fontId="45" fillId="14" borderId="1" xfId="0" applyNumberFormat="1" applyFont="1" applyFill="1" applyBorder="1" applyAlignment="1">
      <alignment horizontal="left" vertical="top"/>
    </xf>
    <xf numFmtId="0" fontId="0" fillId="14" borderId="0" xfId="0" applyFill="1"/>
    <xf numFmtId="4" fontId="45" fillId="31" borderId="14" xfId="0" applyNumberFormat="1" applyFont="1" applyFill="1" applyBorder="1" applyAlignment="1">
      <alignment horizontal="left" vertical="top"/>
    </xf>
    <xf numFmtId="0" fontId="39" fillId="31" borderId="14" xfId="0" applyFont="1" applyFill="1" applyBorder="1" applyAlignment="1">
      <alignment horizontal="left" vertical="top"/>
    </xf>
    <xf numFmtId="0" fontId="39" fillId="33" borderId="14" xfId="0" applyFont="1" applyFill="1" applyBorder="1" applyAlignment="1">
      <alignment horizontal="center" vertical="top"/>
    </xf>
    <xf numFmtId="0" fontId="41" fillId="31" borderId="14" xfId="0" applyFont="1" applyFill="1" applyBorder="1" applyAlignment="1">
      <alignment horizontal="center" vertical="center"/>
    </xf>
    <xf numFmtId="0" fontId="41" fillId="31" borderId="13" xfId="0" applyFont="1" applyFill="1" applyBorder="1" applyAlignment="1">
      <alignment horizontal="center" vertical="center"/>
    </xf>
    <xf numFmtId="0" fontId="0" fillId="0" borderId="13" xfId="0" applyBorder="1"/>
    <xf numFmtId="4" fontId="45" fillId="15" borderId="47" xfId="0" applyNumberFormat="1" applyFont="1" applyFill="1" applyBorder="1" applyAlignment="1">
      <alignment horizontal="left" vertical="top"/>
    </xf>
    <xf numFmtId="0" fontId="39" fillId="15" borderId="47" xfId="0" applyFont="1" applyFill="1" applyBorder="1" applyAlignment="1">
      <alignment horizontal="left" vertical="top"/>
    </xf>
    <xf numFmtId="0" fontId="47" fillId="15" borderId="28" xfId="0" applyFont="1" applyFill="1" applyBorder="1" applyAlignment="1">
      <alignment vertical="center" wrapText="1"/>
    </xf>
    <xf numFmtId="0" fontId="39" fillId="15" borderId="47" xfId="0" applyFont="1" applyFill="1" applyBorder="1" applyAlignment="1">
      <alignment horizontal="center" vertical="top"/>
    </xf>
    <xf numFmtId="0" fontId="41" fillId="15" borderId="47" xfId="0" applyFont="1" applyFill="1" applyBorder="1" applyAlignment="1">
      <alignment horizontal="center" vertical="center"/>
    </xf>
    <xf numFmtId="0" fontId="41" fillId="15" borderId="13" xfId="0" applyFont="1" applyFill="1" applyBorder="1" applyAlignment="1">
      <alignment horizontal="center" vertical="center"/>
    </xf>
    <xf numFmtId="0" fontId="0" fillId="15" borderId="13" xfId="0" applyFill="1" applyBorder="1"/>
    <xf numFmtId="3" fontId="45" fillId="14" borderId="4" xfId="0" applyNumberFormat="1" applyFont="1" applyFill="1" applyBorder="1" applyAlignment="1">
      <alignment horizontal="left" vertical="top"/>
    </xf>
    <xf numFmtId="0" fontId="53" fillId="0" borderId="0" xfId="0" applyFont="1" applyAlignment="1">
      <alignment vertical="center"/>
    </xf>
  </cellXfs>
  <cellStyles count="12">
    <cellStyle name="Euro" xfId="1"/>
    <cellStyle name="Millares" xfId="2" builtinId="3"/>
    <cellStyle name="Millares 10" xfId="8"/>
    <cellStyle name="Millares 2" xfId="3"/>
    <cellStyle name="Millares 3" xfId="4"/>
    <cellStyle name="Millares 4" xfId="10"/>
    <cellStyle name="Moneda" xfId="6" builtinId="4"/>
    <cellStyle name="Normal" xfId="0" builtinId="0"/>
    <cellStyle name="Normal 142" xfId="7"/>
    <cellStyle name="Normal 2" xfId="11"/>
    <cellStyle name="Porcentaje" xfId="5" builtinId="5"/>
    <cellStyle name="Porcentual 2 2" xfId="9"/>
  </cellStyles>
  <dxfs count="125">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ill>
        <patternFill>
          <bgColor indexed="55"/>
        </patternFill>
      </fill>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
      <font>
        <condense val="0"/>
        <extend val="0"/>
        <color auto="1"/>
      </font>
      <fill>
        <patternFill>
          <bgColor indexed="55"/>
        </patternFill>
      </fill>
      <border>
        <left/>
        <right/>
        <top/>
        <bottom/>
      </border>
    </dxf>
  </dxfs>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0</xdr:rowOff>
    </xdr:from>
    <xdr:ext cx="0" cy="785446"/>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0"/>
          <a:ext cx="0" cy="785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ier/AppData/Local/Microsoft/Windows/INetCache/Content.Outlook/C8Q2369M/SM%20Administracion%20Anual%202017%20(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
      <sheetName val="5"/>
      <sheetName val="6"/>
      <sheetName val="7"/>
      <sheetName val="8"/>
      <sheetName val="9"/>
      <sheetName val="10"/>
      <sheetName val="11"/>
      <sheetName val="A y R"/>
      <sheetName val="BalAcum 2014"/>
      <sheetName val="BZAS 2015"/>
      <sheetName val="BZAS 2016"/>
      <sheetName val="BZAS 2017"/>
      <sheetName val="Resultados"/>
      <sheetName val="DECL ANUAL"/>
      <sheetName val="Hoja1"/>
      <sheetName val="Creditos"/>
      <sheetName val="Deudas"/>
      <sheetName val="AAI"/>
      <sheetName val="Perdidas"/>
      <sheetName val="Hoja4"/>
      <sheetName val="sueldos exentos 2015"/>
      <sheetName val="EXENTOS SUELDOS"/>
      <sheetName val="CFF"/>
      <sheetName val="19 CCF ISR"/>
      <sheetName val="sueldos exentos 2017"/>
      <sheetName val="sueldos exentos 2016"/>
      <sheetName val="CU"/>
      <sheetName val="ajustes 2017"/>
      <sheetName val="DEPREC"/>
      <sheetName val="CUCA"/>
      <sheetName val="22 CUFIN 2015"/>
      <sheetName val="CUFIN 2013"/>
      <sheetName val="INPC"/>
      <sheetName val="VTAACT CONT"/>
      <sheetName val="VTAACT FISCAL"/>
      <sheetName val="PTU"/>
      <sheetName val="vta auto 2016"/>
      <sheetName val="vta auto 2015"/>
      <sheetName val="AJUSTES 201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16">
          <cell r="AR616">
            <v>406840.54</v>
          </cell>
        </row>
        <row r="786">
          <cell r="AR786">
            <v>28033.69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0"/>
  <sheetViews>
    <sheetView tabSelected="1" zoomScale="160" zoomScaleNormal="160" workbookViewId="0">
      <selection activeCell="A14" sqref="A14"/>
    </sheetView>
  </sheetViews>
  <sheetFormatPr baseColWidth="10" defaultRowHeight="11.25" x14ac:dyDescent="0.2"/>
  <cols>
    <col min="1" max="1" width="44" style="529" customWidth="1"/>
    <col min="2" max="2" width="13.5703125" style="529" customWidth="1"/>
    <col min="3" max="3" width="12" style="529" customWidth="1"/>
    <col min="4" max="4" width="11" style="530" bestFit="1" customWidth="1"/>
    <col min="5" max="5" width="10.85546875" style="530" bestFit="1" customWidth="1"/>
    <col min="6" max="6" width="12" style="529" customWidth="1"/>
    <col min="7" max="7" width="11.7109375" style="529" customWidth="1"/>
    <col min="8" max="8" width="12.28515625" style="529" customWidth="1"/>
    <col min="9" max="10" width="13.28515625" style="529" customWidth="1"/>
    <col min="11" max="13" width="12.5703125" style="529" customWidth="1"/>
    <col min="14" max="16" width="11.42578125" style="529" customWidth="1"/>
    <col min="17" max="17" width="12" style="529" customWidth="1"/>
    <col min="18" max="18" width="11.42578125" style="529" customWidth="1"/>
    <col min="19" max="19" width="11.42578125" style="529"/>
    <col min="20" max="20" width="15.28515625" style="529" customWidth="1"/>
    <col min="21" max="21" width="13.28515625" style="529" customWidth="1"/>
    <col min="22" max="22" width="11.42578125" style="529"/>
    <col min="23" max="23" width="16.42578125" style="529" bestFit="1" customWidth="1"/>
    <col min="24" max="251" width="11.42578125" style="529"/>
    <col min="252" max="252" width="45" style="529" customWidth="1"/>
    <col min="253" max="253" width="15.7109375" style="529" customWidth="1"/>
    <col min="254" max="254" width="12" style="529" customWidth="1"/>
    <col min="255" max="256" width="10.85546875" style="529" bestFit="1" customWidth="1"/>
    <col min="257" max="257" width="9.5703125" style="529" bestFit="1" customWidth="1"/>
    <col min="258" max="258" width="11.7109375" style="529" customWidth="1"/>
    <col min="259" max="274" width="0" style="529" hidden="1" customWidth="1"/>
    <col min="275" max="275" width="11.42578125" style="529"/>
    <col min="276" max="276" width="15.28515625" style="529" customWidth="1"/>
    <col min="277" max="277" width="13.28515625" style="529" customWidth="1"/>
    <col min="278" max="278" width="11.42578125" style="529"/>
    <col min="279" max="279" width="16.42578125" style="529" bestFit="1" customWidth="1"/>
    <col min="280" max="507" width="11.42578125" style="529"/>
    <col min="508" max="508" width="45" style="529" customWidth="1"/>
    <col min="509" max="509" width="15.7109375" style="529" customWidth="1"/>
    <col min="510" max="510" width="12" style="529" customWidth="1"/>
    <col min="511" max="512" width="10.85546875" style="529" bestFit="1" customWidth="1"/>
    <col min="513" max="513" width="9.5703125" style="529" bestFit="1" customWidth="1"/>
    <col min="514" max="514" width="11.7109375" style="529" customWidth="1"/>
    <col min="515" max="530" width="0" style="529" hidden="1" customWidth="1"/>
    <col min="531" max="531" width="11.42578125" style="529"/>
    <col min="532" max="532" width="15.28515625" style="529" customWidth="1"/>
    <col min="533" max="533" width="13.28515625" style="529" customWidth="1"/>
    <col min="534" max="534" width="11.42578125" style="529"/>
    <col min="535" max="535" width="16.42578125" style="529" bestFit="1" customWidth="1"/>
    <col min="536" max="763" width="11.42578125" style="529"/>
    <col min="764" max="764" width="45" style="529" customWidth="1"/>
    <col min="765" max="765" width="15.7109375" style="529" customWidth="1"/>
    <col min="766" max="766" width="12" style="529" customWidth="1"/>
    <col min="767" max="768" width="10.85546875" style="529" bestFit="1" customWidth="1"/>
    <col min="769" max="769" width="9.5703125" style="529" bestFit="1" customWidth="1"/>
    <col min="770" max="770" width="11.7109375" style="529" customWidth="1"/>
    <col min="771" max="786" width="0" style="529" hidden="1" customWidth="1"/>
    <col min="787" max="787" width="11.42578125" style="529"/>
    <col min="788" max="788" width="15.28515625" style="529" customWidth="1"/>
    <col min="789" max="789" width="13.28515625" style="529" customWidth="1"/>
    <col min="790" max="790" width="11.42578125" style="529"/>
    <col min="791" max="791" width="16.42578125" style="529" bestFit="1" customWidth="1"/>
    <col min="792" max="1019" width="11.42578125" style="529"/>
    <col min="1020" max="1020" width="45" style="529" customWidth="1"/>
    <col min="1021" max="1021" width="15.7109375" style="529" customWidth="1"/>
    <col min="1022" max="1022" width="12" style="529" customWidth="1"/>
    <col min="1023" max="1024" width="10.85546875" style="529" bestFit="1" customWidth="1"/>
    <col min="1025" max="1025" width="9.5703125" style="529" bestFit="1" customWidth="1"/>
    <col min="1026" max="1026" width="11.7109375" style="529" customWidth="1"/>
    <col min="1027" max="1042" width="0" style="529" hidden="1" customWidth="1"/>
    <col min="1043" max="1043" width="11.42578125" style="529"/>
    <col min="1044" max="1044" width="15.28515625" style="529" customWidth="1"/>
    <col min="1045" max="1045" width="13.28515625" style="529" customWidth="1"/>
    <col min="1046" max="1046" width="11.42578125" style="529"/>
    <col min="1047" max="1047" width="16.42578125" style="529" bestFit="1" customWidth="1"/>
    <col min="1048" max="1275" width="11.42578125" style="529"/>
    <col min="1276" max="1276" width="45" style="529" customWidth="1"/>
    <col min="1277" max="1277" width="15.7109375" style="529" customWidth="1"/>
    <col min="1278" max="1278" width="12" style="529" customWidth="1"/>
    <col min="1279" max="1280" width="10.85546875" style="529" bestFit="1" customWidth="1"/>
    <col min="1281" max="1281" width="9.5703125" style="529" bestFit="1" customWidth="1"/>
    <col min="1282" max="1282" width="11.7109375" style="529" customWidth="1"/>
    <col min="1283" max="1298" width="0" style="529" hidden="1" customWidth="1"/>
    <col min="1299" max="1299" width="11.42578125" style="529"/>
    <col min="1300" max="1300" width="15.28515625" style="529" customWidth="1"/>
    <col min="1301" max="1301" width="13.28515625" style="529" customWidth="1"/>
    <col min="1302" max="1302" width="11.42578125" style="529"/>
    <col min="1303" max="1303" width="16.42578125" style="529" bestFit="1" customWidth="1"/>
    <col min="1304" max="1531" width="11.42578125" style="529"/>
    <col min="1532" max="1532" width="45" style="529" customWidth="1"/>
    <col min="1533" max="1533" width="15.7109375" style="529" customWidth="1"/>
    <col min="1534" max="1534" width="12" style="529" customWidth="1"/>
    <col min="1535" max="1536" width="10.85546875" style="529" bestFit="1" customWidth="1"/>
    <col min="1537" max="1537" width="9.5703125" style="529" bestFit="1" customWidth="1"/>
    <col min="1538" max="1538" width="11.7109375" style="529" customWidth="1"/>
    <col min="1539" max="1554" width="0" style="529" hidden="1" customWidth="1"/>
    <col min="1555" max="1555" width="11.42578125" style="529"/>
    <col min="1556" max="1556" width="15.28515625" style="529" customWidth="1"/>
    <col min="1557" max="1557" width="13.28515625" style="529" customWidth="1"/>
    <col min="1558" max="1558" width="11.42578125" style="529"/>
    <col min="1559" max="1559" width="16.42578125" style="529" bestFit="1" customWidth="1"/>
    <col min="1560" max="1787" width="11.42578125" style="529"/>
    <col min="1788" max="1788" width="45" style="529" customWidth="1"/>
    <col min="1789" max="1789" width="15.7109375" style="529" customWidth="1"/>
    <col min="1790" max="1790" width="12" style="529" customWidth="1"/>
    <col min="1791" max="1792" width="10.85546875" style="529" bestFit="1" customWidth="1"/>
    <col min="1793" max="1793" width="9.5703125" style="529" bestFit="1" customWidth="1"/>
    <col min="1794" max="1794" width="11.7109375" style="529" customWidth="1"/>
    <col min="1795" max="1810" width="0" style="529" hidden="1" customWidth="1"/>
    <col min="1811" max="1811" width="11.42578125" style="529"/>
    <col min="1812" max="1812" width="15.28515625" style="529" customWidth="1"/>
    <col min="1813" max="1813" width="13.28515625" style="529" customWidth="1"/>
    <col min="1814" max="1814" width="11.42578125" style="529"/>
    <col min="1815" max="1815" width="16.42578125" style="529" bestFit="1" customWidth="1"/>
    <col min="1816" max="2043" width="11.42578125" style="529"/>
    <col min="2044" max="2044" width="45" style="529" customWidth="1"/>
    <col min="2045" max="2045" width="15.7109375" style="529" customWidth="1"/>
    <col min="2046" max="2046" width="12" style="529" customWidth="1"/>
    <col min="2047" max="2048" width="10.85546875" style="529" bestFit="1" customWidth="1"/>
    <col min="2049" max="2049" width="9.5703125" style="529" bestFit="1" customWidth="1"/>
    <col min="2050" max="2050" width="11.7109375" style="529" customWidth="1"/>
    <col min="2051" max="2066" width="0" style="529" hidden="1" customWidth="1"/>
    <col min="2067" max="2067" width="11.42578125" style="529"/>
    <col min="2068" max="2068" width="15.28515625" style="529" customWidth="1"/>
    <col min="2069" max="2069" width="13.28515625" style="529" customWidth="1"/>
    <col min="2070" max="2070" width="11.42578125" style="529"/>
    <col min="2071" max="2071" width="16.42578125" style="529" bestFit="1" customWidth="1"/>
    <col min="2072" max="2299" width="11.42578125" style="529"/>
    <col min="2300" max="2300" width="45" style="529" customWidth="1"/>
    <col min="2301" max="2301" width="15.7109375" style="529" customWidth="1"/>
    <col min="2302" max="2302" width="12" style="529" customWidth="1"/>
    <col min="2303" max="2304" width="10.85546875" style="529" bestFit="1" customWidth="1"/>
    <col min="2305" max="2305" width="9.5703125" style="529" bestFit="1" customWidth="1"/>
    <col min="2306" max="2306" width="11.7109375" style="529" customWidth="1"/>
    <col min="2307" max="2322" width="0" style="529" hidden="1" customWidth="1"/>
    <col min="2323" max="2323" width="11.42578125" style="529"/>
    <col min="2324" max="2324" width="15.28515625" style="529" customWidth="1"/>
    <col min="2325" max="2325" width="13.28515625" style="529" customWidth="1"/>
    <col min="2326" max="2326" width="11.42578125" style="529"/>
    <col min="2327" max="2327" width="16.42578125" style="529" bestFit="1" customWidth="1"/>
    <col min="2328" max="2555" width="11.42578125" style="529"/>
    <col min="2556" max="2556" width="45" style="529" customWidth="1"/>
    <col min="2557" max="2557" width="15.7109375" style="529" customWidth="1"/>
    <col min="2558" max="2558" width="12" style="529" customWidth="1"/>
    <col min="2559" max="2560" width="10.85546875" style="529" bestFit="1" customWidth="1"/>
    <col min="2561" max="2561" width="9.5703125" style="529" bestFit="1" customWidth="1"/>
    <col min="2562" max="2562" width="11.7109375" style="529" customWidth="1"/>
    <col min="2563" max="2578" width="0" style="529" hidden="1" customWidth="1"/>
    <col min="2579" max="2579" width="11.42578125" style="529"/>
    <col min="2580" max="2580" width="15.28515625" style="529" customWidth="1"/>
    <col min="2581" max="2581" width="13.28515625" style="529" customWidth="1"/>
    <col min="2582" max="2582" width="11.42578125" style="529"/>
    <col min="2583" max="2583" width="16.42578125" style="529" bestFit="1" customWidth="1"/>
    <col min="2584" max="2811" width="11.42578125" style="529"/>
    <col min="2812" max="2812" width="45" style="529" customWidth="1"/>
    <col min="2813" max="2813" width="15.7109375" style="529" customWidth="1"/>
    <col min="2814" max="2814" width="12" style="529" customWidth="1"/>
    <col min="2815" max="2816" width="10.85546875" style="529" bestFit="1" customWidth="1"/>
    <col min="2817" max="2817" width="9.5703125" style="529" bestFit="1" customWidth="1"/>
    <col min="2818" max="2818" width="11.7109375" style="529" customWidth="1"/>
    <col min="2819" max="2834" width="0" style="529" hidden="1" customWidth="1"/>
    <col min="2835" max="2835" width="11.42578125" style="529"/>
    <col min="2836" max="2836" width="15.28515625" style="529" customWidth="1"/>
    <col min="2837" max="2837" width="13.28515625" style="529" customWidth="1"/>
    <col min="2838" max="2838" width="11.42578125" style="529"/>
    <col min="2839" max="2839" width="16.42578125" style="529" bestFit="1" customWidth="1"/>
    <col min="2840" max="3067" width="11.42578125" style="529"/>
    <col min="3068" max="3068" width="45" style="529" customWidth="1"/>
    <col min="3069" max="3069" width="15.7109375" style="529" customWidth="1"/>
    <col min="3070" max="3070" width="12" style="529" customWidth="1"/>
    <col min="3071" max="3072" width="10.85546875" style="529" bestFit="1" customWidth="1"/>
    <col min="3073" max="3073" width="9.5703125" style="529" bestFit="1" customWidth="1"/>
    <col min="3074" max="3074" width="11.7109375" style="529" customWidth="1"/>
    <col min="3075" max="3090" width="0" style="529" hidden="1" customWidth="1"/>
    <col min="3091" max="3091" width="11.42578125" style="529"/>
    <col min="3092" max="3092" width="15.28515625" style="529" customWidth="1"/>
    <col min="3093" max="3093" width="13.28515625" style="529" customWidth="1"/>
    <col min="3094" max="3094" width="11.42578125" style="529"/>
    <col min="3095" max="3095" width="16.42578125" style="529" bestFit="1" customWidth="1"/>
    <col min="3096" max="3323" width="11.42578125" style="529"/>
    <col min="3324" max="3324" width="45" style="529" customWidth="1"/>
    <col min="3325" max="3325" width="15.7109375" style="529" customWidth="1"/>
    <col min="3326" max="3326" width="12" style="529" customWidth="1"/>
    <col min="3327" max="3328" width="10.85546875" style="529" bestFit="1" customWidth="1"/>
    <col min="3329" max="3329" width="9.5703125" style="529" bestFit="1" customWidth="1"/>
    <col min="3330" max="3330" width="11.7109375" style="529" customWidth="1"/>
    <col min="3331" max="3346" width="0" style="529" hidden="1" customWidth="1"/>
    <col min="3347" max="3347" width="11.42578125" style="529"/>
    <col min="3348" max="3348" width="15.28515625" style="529" customWidth="1"/>
    <col min="3349" max="3349" width="13.28515625" style="529" customWidth="1"/>
    <col min="3350" max="3350" width="11.42578125" style="529"/>
    <col min="3351" max="3351" width="16.42578125" style="529" bestFit="1" customWidth="1"/>
    <col min="3352" max="3579" width="11.42578125" style="529"/>
    <col min="3580" max="3580" width="45" style="529" customWidth="1"/>
    <col min="3581" max="3581" width="15.7109375" style="529" customWidth="1"/>
    <col min="3582" max="3582" width="12" style="529" customWidth="1"/>
    <col min="3583" max="3584" width="10.85546875" style="529" bestFit="1" customWidth="1"/>
    <col min="3585" max="3585" width="9.5703125" style="529" bestFit="1" customWidth="1"/>
    <col min="3586" max="3586" width="11.7109375" style="529" customWidth="1"/>
    <col min="3587" max="3602" width="0" style="529" hidden="1" customWidth="1"/>
    <col min="3603" max="3603" width="11.42578125" style="529"/>
    <col min="3604" max="3604" width="15.28515625" style="529" customWidth="1"/>
    <col min="3605" max="3605" width="13.28515625" style="529" customWidth="1"/>
    <col min="3606" max="3606" width="11.42578125" style="529"/>
    <col min="3607" max="3607" width="16.42578125" style="529" bestFit="1" customWidth="1"/>
    <col min="3608" max="3835" width="11.42578125" style="529"/>
    <col min="3836" max="3836" width="45" style="529" customWidth="1"/>
    <col min="3837" max="3837" width="15.7109375" style="529" customWidth="1"/>
    <col min="3838" max="3838" width="12" style="529" customWidth="1"/>
    <col min="3839" max="3840" width="10.85546875" style="529" bestFit="1" customWidth="1"/>
    <col min="3841" max="3841" width="9.5703125" style="529" bestFit="1" customWidth="1"/>
    <col min="3842" max="3842" width="11.7109375" style="529" customWidth="1"/>
    <col min="3843" max="3858" width="0" style="529" hidden="1" customWidth="1"/>
    <col min="3859" max="3859" width="11.42578125" style="529"/>
    <col min="3860" max="3860" width="15.28515625" style="529" customWidth="1"/>
    <col min="3861" max="3861" width="13.28515625" style="529" customWidth="1"/>
    <col min="3862" max="3862" width="11.42578125" style="529"/>
    <col min="3863" max="3863" width="16.42578125" style="529" bestFit="1" customWidth="1"/>
    <col min="3864" max="4091" width="11.42578125" style="529"/>
    <col min="4092" max="4092" width="45" style="529" customWidth="1"/>
    <col min="4093" max="4093" width="15.7109375" style="529" customWidth="1"/>
    <col min="4094" max="4094" width="12" style="529" customWidth="1"/>
    <col min="4095" max="4096" width="10.85546875" style="529" bestFit="1" customWidth="1"/>
    <col min="4097" max="4097" width="9.5703125" style="529" bestFit="1" customWidth="1"/>
    <col min="4098" max="4098" width="11.7109375" style="529" customWidth="1"/>
    <col min="4099" max="4114" width="0" style="529" hidden="1" customWidth="1"/>
    <col min="4115" max="4115" width="11.42578125" style="529"/>
    <col min="4116" max="4116" width="15.28515625" style="529" customWidth="1"/>
    <col min="4117" max="4117" width="13.28515625" style="529" customWidth="1"/>
    <col min="4118" max="4118" width="11.42578125" style="529"/>
    <col min="4119" max="4119" width="16.42578125" style="529" bestFit="1" customWidth="1"/>
    <col min="4120" max="4347" width="11.42578125" style="529"/>
    <col min="4348" max="4348" width="45" style="529" customWidth="1"/>
    <col min="4349" max="4349" width="15.7109375" style="529" customWidth="1"/>
    <col min="4350" max="4350" width="12" style="529" customWidth="1"/>
    <col min="4351" max="4352" width="10.85546875" style="529" bestFit="1" customWidth="1"/>
    <col min="4353" max="4353" width="9.5703125" style="529" bestFit="1" customWidth="1"/>
    <col min="4354" max="4354" width="11.7109375" style="529" customWidth="1"/>
    <col min="4355" max="4370" width="0" style="529" hidden="1" customWidth="1"/>
    <col min="4371" max="4371" width="11.42578125" style="529"/>
    <col min="4372" max="4372" width="15.28515625" style="529" customWidth="1"/>
    <col min="4373" max="4373" width="13.28515625" style="529" customWidth="1"/>
    <col min="4374" max="4374" width="11.42578125" style="529"/>
    <col min="4375" max="4375" width="16.42578125" style="529" bestFit="1" customWidth="1"/>
    <col min="4376" max="4603" width="11.42578125" style="529"/>
    <col min="4604" max="4604" width="45" style="529" customWidth="1"/>
    <col min="4605" max="4605" width="15.7109375" style="529" customWidth="1"/>
    <col min="4606" max="4606" width="12" style="529" customWidth="1"/>
    <col min="4607" max="4608" width="10.85546875" style="529" bestFit="1" customWidth="1"/>
    <col min="4609" max="4609" width="9.5703125" style="529" bestFit="1" customWidth="1"/>
    <col min="4610" max="4610" width="11.7109375" style="529" customWidth="1"/>
    <col min="4611" max="4626" width="0" style="529" hidden="1" customWidth="1"/>
    <col min="4627" max="4627" width="11.42578125" style="529"/>
    <col min="4628" max="4628" width="15.28515625" style="529" customWidth="1"/>
    <col min="4629" max="4629" width="13.28515625" style="529" customWidth="1"/>
    <col min="4630" max="4630" width="11.42578125" style="529"/>
    <col min="4631" max="4631" width="16.42578125" style="529" bestFit="1" customWidth="1"/>
    <col min="4632" max="4859" width="11.42578125" style="529"/>
    <col min="4860" max="4860" width="45" style="529" customWidth="1"/>
    <col min="4861" max="4861" width="15.7109375" style="529" customWidth="1"/>
    <col min="4862" max="4862" width="12" style="529" customWidth="1"/>
    <col min="4863" max="4864" width="10.85546875" style="529" bestFit="1" customWidth="1"/>
    <col min="4865" max="4865" width="9.5703125" style="529" bestFit="1" customWidth="1"/>
    <col min="4866" max="4866" width="11.7109375" style="529" customWidth="1"/>
    <col min="4867" max="4882" width="0" style="529" hidden="1" customWidth="1"/>
    <col min="4883" max="4883" width="11.42578125" style="529"/>
    <col min="4884" max="4884" width="15.28515625" style="529" customWidth="1"/>
    <col min="4885" max="4885" width="13.28515625" style="529" customWidth="1"/>
    <col min="4886" max="4886" width="11.42578125" style="529"/>
    <col min="4887" max="4887" width="16.42578125" style="529" bestFit="1" customWidth="1"/>
    <col min="4888" max="5115" width="11.42578125" style="529"/>
    <col min="5116" max="5116" width="45" style="529" customWidth="1"/>
    <col min="5117" max="5117" width="15.7109375" style="529" customWidth="1"/>
    <col min="5118" max="5118" width="12" style="529" customWidth="1"/>
    <col min="5119" max="5120" width="10.85546875" style="529" bestFit="1" customWidth="1"/>
    <col min="5121" max="5121" width="9.5703125" style="529" bestFit="1" customWidth="1"/>
    <col min="5122" max="5122" width="11.7109375" style="529" customWidth="1"/>
    <col min="5123" max="5138" width="0" style="529" hidden="1" customWidth="1"/>
    <col min="5139" max="5139" width="11.42578125" style="529"/>
    <col min="5140" max="5140" width="15.28515625" style="529" customWidth="1"/>
    <col min="5141" max="5141" width="13.28515625" style="529" customWidth="1"/>
    <col min="5142" max="5142" width="11.42578125" style="529"/>
    <col min="5143" max="5143" width="16.42578125" style="529" bestFit="1" customWidth="1"/>
    <col min="5144" max="5371" width="11.42578125" style="529"/>
    <col min="5372" max="5372" width="45" style="529" customWidth="1"/>
    <col min="5373" max="5373" width="15.7109375" style="529" customWidth="1"/>
    <col min="5374" max="5374" width="12" style="529" customWidth="1"/>
    <col min="5375" max="5376" width="10.85546875" style="529" bestFit="1" customWidth="1"/>
    <col min="5377" max="5377" width="9.5703125" style="529" bestFit="1" customWidth="1"/>
    <col min="5378" max="5378" width="11.7109375" style="529" customWidth="1"/>
    <col min="5379" max="5394" width="0" style="529" hidden="1" customWidth="1"/>
    <col min="5395" max="5395" width="11.42578125" style="529"/>
    <col min="5396" max="5396" width="15.28515625" style="529" customWidth="1"/>
    <col min="5397" max="5397" width="13.28515625" style="529" customWidth="1"/>
    <col min="5398" max="5398" width="11.42578125" style="529"/>
    <col min="5399" max="5399" width="16.42578125" style="529" bestFit="1" customWidth="1"/>
    <col min="5400" max="5627" width="11.42578125" style="529"/>
    <col min="5628" max="5628" width="45" style="529" customWidth="1"/>
    <col min="5629" max="5629" width="15.7109375" style="529" customWidth="1"/>
    <col min="5630" max="5630" width="12" style="529" customWidth="1"/>
    <col min="5631" max="5632" width="10.85546875" style="529" bestFit="1" customWidth="1"/>
    <col min="5633" max="5633" width="9.5703125" style="529" bestFit="1" customWidth="1"/>
    <col min="5634" max="5634" width="11.7109375" style="529" customWidth="1"/>
    <col min="5635" max="5650" width="0" style="529" hidden="1" customWidth="1"/>
    <col min="5651" max="5651" width="11.42578125" style="529"/>
    <col min="5652" max="5652" width="15.28515625" style="529" customWidth="1"/>
    <col min="5653" max="5653" width="13.28515625" style="529" customWidth="1"/>
    <col min="5654" max="5654" width="11.42578125" style="529"/>
    <col min="5655" max="5655" width="16.42578125" style="529" bestFit="1" customWidth="1"/>
    <col min="5656" max="5883" width="11.42578125" style="529"/>
    <col min="5884" max="5884" width="45" style="529" customWidth="1"/>
    <col min="5885" max="5885" width="15.7109375" style="529" customWidth="1"/>
    <col min="5886" max="5886" width="12" style="529" customWidth="1"/>
    <col min="5887" max="5888" width="10.85546875" style="529" bestFit="1" customWidth="1"/>
    <col min="5889" max="5889" width="9.5703125" style="529" bestFit="1" customWidth="1"/>
    <col min="5890" max="5890" width="11.7109375" style="529" customWidth="1"/>
    <col min="5891" max="5906" width="0" style="529" hidden="1" customWidth="1"/>
    <col min="5907" max="5907" width="11.42578125" style="529"/>
    <col min="5908" max="5908" width="15.28515625" style="529" customWidth="1"/>
    <col min="5909" max="5909" width="13.28515625" style="529" customWidth="1"/>
    <col min="5910" max="5910" width="11.42578125" style="529"/>
    <col min="5911" max="5911" width="16.42578125" style="529" bestFit="1" customWidth="1"/>
    <col min="5912" max="6139" width="11.42578125" style="529"/>
    <col min="6140" max="6140" width="45" style="529" customWidth="1"/>
    <col min="6141" max="6141" width="15.7109375" style="529" customWidth="1"/>
    <col min="6142" max="6142" width="12" style="529" customWidth="1"/>
    <col min="6143" max="6144" width="10.85546875" style="529" bestFit="1" customWidth="1"/>
    <col min="6145" max="6145" width="9.5703125" style="529" bestFit="1" customWidth="1"/>
    <col min="6146" max="6146" width="11.7109375" style="529" customWidth="1"/>
    <col min="6147" max="6162" width="0" style="529" hidden="1" customWidth="1"/>
    <col min="6163" max="6163" width="11.42578125" style="529"/>
    <col min="6164" max="6164" width="15.28515625" style="529" customWidth="1"/>
    <col min="6165" max="6165" width="13.28515625" style="529" customWidth="1"/>
    <col min="6166" max="6166" width="11.42578125" style="529"/>
    <col min="6167" max="6167" width="16.42578125" style="529" bestFit="1" customWidth="1"/>
    <col min="6168" max="6395" width="11.42578125" style="529"/>
    <col min="6396" max="6396" width="45" style="529" customWidth="1"/>
    <col min="6397" max="6397" width="15.7109375" style="529" customWidth="1"/>
    <col min="6398" max="6398" width="12" style="529" customWidth="1"/>
    <col min="6399" max="6400" width="10.85546875" style="529" bestFit="1" customWidth="1"/>
    <col min="6401" max="6401" width="9.5703125" style="529" bestFit="1" customWidth="1"/>
    <col min="6402" max="6402" width="11.7109375" style="529" customWidth="1"/>
    <col min="6403" max="6418" width="0" style="529" hidden="1" customWidth="1"/>
    <col min="6419" max="6419" width="11.42578125" style="529"/>
    <col min="6420" max="6420" width="15.28515625" style="529" customWidth="1"/>
    <col min="6421" max="6421" width="13.28515625" style="529" customWidth="1"/>
    <col min="6422" max="6422" width="11.42578125" style="529"/>
    <col min="6423" max="6423" width="16.42578125" style="529" bestFit="1" customWidth="1"/>
    <col min="6424" max="6651" width="11.42578125" style="529"/>
    <col min="6652" max="6652" width="45" style="529" customWidth="1"/>
    <col min="6653" max="6653" width="15.7109375" style="529" customWidth="1"/>
    <col min="6654" max="6654" width="12" style="529" customWidth="1"/>
    <col min="6655" max="6656" width="10.85546875" style="529" bestFit="1" customWidth="1"/>
    <col min="6657" max="6657" width="9.5703125" style="529" bestFit="1" customWidth="1"/>
    <col min="6658" max="6658" width="11.7109375" style="529" customWidth="1"/>
    <col min="6659" max="6674" width="0" style="529" hidden="1" customWidth="1"/>
    <col min="6675" max="6675" width="11.42578125" style="529"/>
    <col min="6676" max="6676" width="15.28515625" style="529" customWidth="1"/>
    <col min="6677" max="6677" width="13.28515625" style="529" customWidth="1"/>
    <col min="6678" max="6678" width="11.42578125" style="529"/>
    <col min="6679" max="6679" width="16.42578125" style="529" bestFit="1" customWidth="1"/>
    <col min="6680" max="6907" width="11.42578125" style="529"/>
    <col min="6908" max="6908" width="45" style="529" customWidth="1"/>
    <col min="6909" max="6909" width="15.7109375" style="529" customWidth="1"/>
    <col min="6910" max="6910" width="12" style="529" customWidth="1"/>
    <col min="6911" max="6912" width="10.85546875" style="529" bestFit="1" customWidth="1"/>
    <col min="6913" max="6913" width="9.5703125" style="529" bestFit="1" customWidth="1"/>
    <col min="6914" max="6914" width="11.7109375" style="529" customWidth="1"/>
    <col min="6915" max="6930" width="0" style="529" hidden="1" customWidth="1"/>
    <col min="6931" max="6931" width="11.42578125" style="529"/>
    <col min="6932" max="6932" width="15.28515625" style="529" customWidth="1"/>
    <col min="6933" max="6933" width="13.28515625" style="529" customWidth="1"/>
    <col min="6934" max="6934" width="11.42578125" style="529"/>
    <col min="6935" max="6935" width="16.42578125" style="529" bestFit="1" customWidth="1"/>
    <col min="6936" max="7163" width="11.42578125" style="529"/>
    <col min="7164" max="7164" width="45" style="529" customWidth="1"/>
    <col min="7165" max="7165" width="15.7109375" style="529" customWidth="1"/>
    <col min="7166" max="7166" width="12" style="529" customWidth="1"/>
    <col min="7167" max="7168" width="10.85546875" style="529" bestFit="1" customWidth="1"/>
    <col min="7169" max="7169" width="9.5703125" style="529" bestFit="1" customWidth="1"/>
    <col min="7170" max="7170" width="11.7109375" style="529" customWidth="1"/>
    <col min="7171" max="7186" width="0" style="529" hidden="1" customWidth="1"/>
    <col min="7187" max="7187" width="11.42578125" style="529"/>
    <col min="7188" max="7188" width="15.28515625" style="529" customWidth="1"/>
    <col min="7189" max="7189" width="13.28515625" style="529" customWidth="1"/>
    <col min="7190" max="7190" width="11.42578125" style="529"/>
    <col min="7191" max="7191" width="16.42578125" style="529" bestFit="1" customWidth="1"/>
    <col min="7192" max="7419" width="11.42578125" style="529"/>
    <col min="7420" max="7420" width="45" style="529" customWidth="1"/>
    <col min="7421" max="7421" width="15.7109375" style="529" customWidth="1"/>
    <col min="7422" max="7422" width="12" style="529" customWidth="1"/>
    <col min="7423" max="7424" width="10.85546875" style="529" bestFit="1" customWidth="1"/>
    <col min="7425" max="7425" width="9.5703125" style="529" bestFit="1" customWidth="1"/>
    <col min="7426" max="7426" width="11.7109375" style="529" customWidth="1"/>
    <col min="7427" max="7442" width="0" style="529" hidden="1" customWidth="1"/>
    <col min="7443" max="7443" width="11.42578125" style="529"/>
    <col min="7444" max="7444" width="15.28515625" style="529" customWidth="1"/>
    <col min="7445" max="7445" width="13.28515625" style="529" customWidth="1"/>
    <col min="7446" max="7446" width="11.42578125" style="529"/>
    <col min="7447" max="7447" width="16.42578125" style="529" bestFit="1" customWidth="1"/>
    <col min="7448" max="7675" width="11.42578125" style="529"/>
    <col min="7676" max="7676" width="45" style="529" customWidth="1"/>
    <col min="7677" max="7677" width="15.7109375" style="529" customWidth="1"/>
    <col min="7678" max="7678" width="12" style="529" customWidth="1"/>
    <col min="7679" max="7680" width="10.85546875" style="529" bestFit="1" customWidth="1"/>
    <col min="7681" max="7681" width="9.5703125" style="529" bestFit="1" customWidth="1"/>
    <col min="7682" max="7682" width="11.7109375" style="529" customWidth="1"/>
    <col min="7683" max="7698" width="0" style="529" hidden="1" customWidth="1"/>
    <col min="7699" max="7699" width="11.42578125" style="529"/>
    <col min="7700" max="7700" width="15.28515625" style="529" customWidth="1"/>
    <col min="7701" max="7701" width="13.28515625" style="529" customWidth="1"/>
    <col min="7702" max="7702" width="11.42578125" style="529"/>
    <col min="7703" max="7703" width="16.42578125" style="529" bestFit="1" customWidth="1"/>
    <col min="7704" max="7931" width="11.42578125" style="529"/>
    <col min="7932" max="7932" width="45" style="529" customWidth="1"/>
    <col min="7933" max="7933" width="15.7109375" style="529" customWidth="1"/>
    <col min="7934" max="7934" width="12" style="529" customWidth="1"/>
    <col min="7935" max="7936" width="10.85546875" style="529" bestFit="1" customWidth="1"/>
    <col min="7937" max="7937" width="9.5703125" style="529" bestFit="1" customWidth="1"/>
    <col min="7938" max="7938" width="11.7109375" style="529" customWidth="1"/>
    <col min="7939" max="7954" width="0" style="529" hidden="1" customWidth="1"/>
    <col min="7955" max="7955" width="11.42578125" style="529"/>
    <col min="7956" max="7956" width="15.28515625" style="529" customWidth="1"/>
    <col min="7957" max="7957" width="13.28515625" style="529" customWidth="1"/>
    <col min="7958" max="7958" width="11.42578125" style="529"/>
    <col min="7959" max="7959" width="16.42578125" style="529" bestFit="1" customWidth="1"/>
    <col min="7960" max="8187" width="11.42578125" style="529"/>
    <col min="8188" max="8188" width="45" style="529" customWidth="1"/>
    <col min="8189" max="8189" width="15.7109375" style="529" customWidth="1"/>
    <col min="8190" max="8190" width="12" style="529" customWidth="1"/>
    <col min="8191" max="8192" width="10.85546875" style="529" bestFit="1" customWidth="1"/>
    <col min="8193" max="8193" width="9.5703125" style="529" bestFit="1" customWidth="1"/>
    <col min="8194" max="8194" width="11.7109375" style="529" customWidth="1"/>
    <col min="8195" max="8210" width="0" style="529" hidden="1" customWidth="1"/>
    <col min="8211" max="8211" width="11.42578125" style="529"/>
    <col min="8212" max="8212" width="15.28515625" style="529" customWidth="1"/>
    <col min="8213" max="8213" width="13.28515625" style="529" customWidth="1"/>
    <col min="8214" max="8214" width="11.42578125" style="529"/>
    <col min="8215" max="8215" width="16.42578125" style="529" bestFit="1" customWidth="1"/>
    <col min="8216" max="8443" width="11.42578125" style="529"/>
    <col min="8444" max="8444" width="45" style="529" customWidth="1"/>
    <col min="8445" max="8445" width="15.7109375" style="529" customWidth="1"/>
    <col min="8446" max="8446" width="12" style="529" customWidth="1"/>
    <col min="8447" max="8448" width="10.85546875" style="529" bestFit="1" customWidth="1"/>
    <col min="8449" max="8449" width="9.5703125" style="529" bestFit="1" customWidth="1"/>
    <col min="8450" max="8450" width="11.7109375" style="529" customWidth="1"/>
    <col min="8451" max="8466" width="0" style="529" hidden="1" customWidth="1"/>
    <col min="8467" max="8467" width="11.42578125" style="529"/>
    <col min="8468" max="8468" width="15.28515625" style="529" customWidth="1"/>
    <col min="8469" max="8469" width="13.28515625" style="529" customWidth="1"/>
    <col min="8470" max="8470" width="11.42578125" style="529"/>
    <col min="8471" max="8471" width="16.42578125" style="529" bestFit="1" customWidth="1"/>
    <col min="8472" max="8699" width="11.42578125" style="529"/>
    <col min="8700" max="8700" width="45" style="529" customWidth="1"/>
    <col min="8701" max="8701" width="15.7109375" style="529" customWidth="1"/>
    <col min="8702" max="8702" width="12" style="529" customWidth="1"/>
    <col min="8703" max="8704" width="10.85546875" style="529" bestFit="1" customWidth="1"/>
    <col min="8705" max="8705" width="9.5703125" style="529" bestFit="1" customWidth="1"/>
    <col min="8706" max="8706" width="11.7109375" style="529" customWidth="1"/>
    <col min="8707" max="8722" width="0" style="529" hidden="1" customWidth="1"/>
    <col min="8723" max="8723" width="11.42578125" style="529"/>
    <col min="8724" max="8724" width="15.28515625" style="529" customWidth="1"/>
    <col min="8725" max="8725" width="13.28515625" style="529" customWidth="1"/>
    <col min="8726" max="8726" width="11.42578125" style="529"/>
    <col min="8727" max="8727" width="16.42578125" style="529" bestFit="1" customWidth="1"/>
    <col min="8728" max="8955" width="11.42578125" style="529"/>
    <col min="8956" max="8956" width="45" style="529" customWidth="1"/>
    <col min="8957" max="8957" width="15.7109375" style="529" customWidth="1"/>
    <col min="8958" max="8958" width="12" style="529" customWidth="1"/>
    <col min="8959" max="8960" width="10.85546875" style="529" bestFit="1" customWidth="1"/>
    <col min="8961" max="8961" width="9.5703125" style="529" bestFit="1" customWidth="1"/>
    <col min="8962" max="8962" width="11.7109375" style="529" customWidth="1"/>
    <col min="8963" max="8978" width="0" style="529" hidden="1" customWidth="1"/>
    <col min="8979" max="8979" width="11.42578125" style="529"/>
    <col min="8980" max="8980" width="15.28515625" style="529" customWidth="1"/>
    <col min="8981" max="8981" width="13.28515625" style="529" customWidth="1"/>
    <col min="8982" max="8982" width="11.42578125" style="529"/>
    <col min="8983" max="8983" width="16.42578125" style="529" bestFit="1" customWidth="1"/>
    <col min="8984" max="9211" width="11.42578125" style="529"/>
    <col min="9212" max="9212" width="45" style="529" customWidth="1"/>
    <col min="9213" max="9213" width="15.7109375" style="529" customWidth="1"/>
    <col min="9214" max="9214" width="12" style="529" customWidth="1"/>
    <col min="9215" max="9216" width="10.85546875" style="529" bestFit="1" customWidth="1"/>
    <col min="9217" max="9217" width="9.5703125" style="529" bestFit="1" customWidth="1"/>
    <col min="9218" max="9218" width="11.7109375" style="529" customWidth="1"/>
    <col min="9219" max="9234" width="0" style="529" hidden="1" customWidth="1"/>
    <col min="9235" max="9235" width="11.42578125" style="529"/>
    <col min="9236" max="9236" width="15.28515625" style="529" customWidth="1"/>
    <col min="9237" max="9237" width="13.28515625" style="529" customWidth="1"/>
    <col min="9238" max="9238" width="11.42578125" style="529"/>
    <col min="9239" max="9239" width="16.42578125" style="529" bestFit="1" customWidth="1"/>
    <col min="9240" max="9467" width="11.42578125" style="529"/>
    <col min="9468" max="9468" width="45" style="529" customWidth="1"/>
    <col min="9469" max="9469" width="15.7109375" style="529" customWidth="1"/>
    <col min="9470" max="9470" width="12" style="529" customWidth="1"/>
    <col min="9471" max="9472" width="10.85546875" style="529" bestFit="1" customWidth="1"/>
    <col min="9473" max="9473" width="9.5703125" style="529" bestFit="1" customWidth="1"/>
    <col min="9474" max="9474" width="11.7109375" style="529" customWidth="1"/>
    <col min="9475" max="9490" width="0" style="529" hidden="1" customWidth="1"/>
    <col min="9491" max="9491" width="11.42578125" style="529"/>
    <col min="9492" max="9492" width="15.28515625" style="529" customWidth="1"/>
    <col min="9493" max="9493" width="13.28515625" style="529" customWidth="1"/>
    <col min="9494" max="9494" width="11.42578125" style="529"/>
    <col min="9495" max="9495" width="16.42578125" style="529" bestFit="1" customWidth="1"/>
    <col min="9496" max="9723" width="11.42578125" style="529"/>
    <col min="9724" max="9724" width="45" style="529" customWidth="1"/>
    <col min="9725" max="9725" width="15.7109375" style="529" customWidth="1"/>
    <col min="9726" max="9726" width="12" style="529" customWidth="1"/>
    <col min="9727" max="9728" width="10.85546875" style="529" bestFit="1" customWidth="1"/>
    <col min="9729" max="9729" width="9.5703125" style="529" bestFit="1" customWidth="1"/>
    <col min="9730" max="9730" width="11.7109375" style="529" customWidth="1"/>
    <col min="9731" max="9746" width="0" style="529" hidden="1" customWidth="1"/>
    <col min="9747" max="9747" width="11.42578125" style="529"/>
    <col min="9748" max="9748" width="15.28515625" style="529" customWidth="1"/>
    <col min="9749" max="9749" width="13.28515625" style="529" customWidth="1"/>
    <col min="9750" max="9750" width="11.42578125" style="529"/>
    <col min="9751" max="9751" width="16.42578125" style="529" bestFit="1" customWidth="1"/>
    <col min="9752" max="9979" width="11.42578125" style="529"/>
    <col min="9980" max="9980" width="45" style="529" customWidth="1"/>
    <col min="9981" max="9981" width="15.7109375" style="529" customWidth="1"/>
    <col min="9982" max="9982" width="12" style="529" customWidth="1"/>
    <col min="9983" max="9984" width="10.85546875" style="529" bestFit="1" customWidth="1"/>
    <col min="9985" max="9985" width="9.5703125" style="529" bestFit="1" customWidth="1"/>
    <col min="9986" max="9986" width="11.7109375" style="529" customWidth="1"/>
    <col min="9987" max="10002" width="0" style="529" hidden="1" customWidth="1"/>
    <col min="10003" max="10003" width="11.42578125" style="529"/>
    <col min="10004" max="10004" width="15.28515625" style="529" customWidth="1"/>
    <col min="10005" max="10005" width="13.28515625" style="529" customWidth="1"/>
    <col min="10006" max="10006" width="11.42578125" style="529"/>
    <col min="10007" max="10007" width="16.42578125" style="529" bestFit="1" customWidth="1"/>
    <col min="10008" max="10235" width="11.42578125" style="529"/>
    <col min="10236" max="10236" width="45" style="529" customWidth="1"/>
    <col min="10237" max="10237" width="15.7109375" style="529" customWidth="1"/>
    <col min="10238" max="10238" width="12" style="529" customWidth="1"/>
    <col min="10239" max="10240" width="10.85546875" style="529" bestFit="1" customWidth="1"/>
    <col min="10241" max="10241" width="9.5703125" style="529" bestFit="1" customWidth="1"/>
    <col min="10242" max="10242" width="11.7109375" style="529" customWidth="1"/>
    <col min="10243" max="10258" width="0" style="529" hidden="1" customWidth="1"/>
    <col min="10259" max="10259" width="11.42578125" style="529"/>
    <col min="10260" max="10260" width="15.28515625" style="529" customWidth="1"/>
    <col min="10261" max="10261" width="13.28515625" style="529" customWidth="1"/>
    <col min="10262" max="10262" width="11.42578125" style="529"/>
    <col min="10263" max="10263" width="16.42578125" style="529" bestFit="1" customWidth="1"/>
    <col min="10264" max="10491" width="11.42578125" style="529"/>
    <col min="10492" max="10492" width="45" style="529" customWidth="1"/>
    <col min="10493" max="10493" width="15.7109375" style="529" customWidth="1"/>
    <col min="10494" max="10494" width="12" style="529" customWidth="1"/>
    <col min="10495" max="10496" width="10.85546875" style="529" bestFit="1" customWidth="1"/>
    <col min="10497" max="10497" width="9.5703125" style="529" bestFit="1" customWidth="1"/>
    <col min="10498" max="10498" width="11.7109375" style="529" customWidth="1"/>
    <col min="10499" max="10514" width="0" style="529" hidden="1" customWidth="1"/>
    <col min="10515" max="10515" width="11.42578125" style="529"/>
    <col min="10516" max="10516" width="15.28515625" style="529" customWidth="1"/>
    <col min="10517" max="10517" width="13.28515625" style="529" customWidth="1"/>
    <col min="10518" max="10518" width="11.42578125" style="529"/>
    <col min="10519" max="10519" width="16.42578125" style="529" bestFit="1" customWidth="1"/>
    <col min="10520" max="10747" width="11.42578125" style="529"/>
    <col min="10748" max="10748" width="45" style="529" customWidth="1"/>
    <col min="10749" max="10749" width="15.7109375" style="529" customWidth="1"/>
    <col min="10750" max="10750" width="12" style="529" customWidth="1"/>
    <col min="10751" max="10752" width="10.85546875" style="529" bestFit="1" customWidth="1"/>
    <col min="10753" max="10753" width="9.5703125" style="529" bestFit="1" customWidth="1"/>
    <col min="10754" max="10754" width="11.7109375" style="529" customWidth="1"/>
    <col min="10755" max="10770" width="0" style="529" hidden="1" customWidth="1"/>
    <col min="10771" max="10771" width="11.42578125" style="529"/>
    <col min="10772" max="10772" width="15.28515625" style="529" customWidth="1"/>
    <col min="10773" max="10773" width="13.28515625" style="529" customWidth="1"/>
    <col min="10774" max="10774" width="11.42578125" style="529"/>
    <col min="10775" max="10775" width="16.42578125" style="529" bestFit="1" customWidth="1"/>
    <col min="10776" max="11003" width="11.42578125" style="529"/>
    <col min="11004" max="11004" width="45" style="529" customWidth="1"/>
    <col min="11005" max="11005" width="15.7109375" style="529" customWidth="1"/>
    <col min="11006" max="11006" width="12" style="529" customWidth="1"/>
    <col min="11007" max="11008" width="10.85546875" style="529" bestFit="1" customWidth="1"/>
    <col min="11009" max="11009" width="9.5703125" style="529" bestFit="1" customWidth="1"/>
    <col min="11010" max="11010" width="11.7109375" style="529" customWidth="1"/>
    <col min="11011" max="11026" width="0" style="529" hidden="1" customWidth="1"/>
    <col min="11027" max="11027" width="11.42578125" style="529"/>
    <col min="11028" max="11028" width="15.28515625" style="529" customWidth="1"/>
    <col min="11029" max="11029" width="13.28515625" style="529" customWidth="1"/>
    <col min="11030" max="11030" width="11.42578125" style="529"/>
    <col min="11031" max="11031" width="16.42578125" style="529" bestFit="1" customWidth="1"/>
    <col min="11032" max="11259" width="11.42578125" style="529"/>
    <col min="11260" max="11260" width="45" style="529" customWidth="1"/>
    <col min="11261" max="11261" width="15.7109375" style="529" customWidth="1"/>
    <col min="11262" max="11262" width="12" style="529" customWidth="1"/>
    <col min="11263" max="11264" width="10.85546875" style="529" bestFit="1" customWidth="1"/>
    <col min="11265" max="11265" width="9.5703125" style="529" bestFit="1" customWidth="1"/>
    <col min="11266" max="11266" width="11.7109375" style="529" customWidth="1"/>
    <col min="11267" max="11282" width="0" style="529" hidden="1" customWidth="1"/>
    <col min="11283" max="11283" width="11.42578125" style="529"/>
    <col min="11284" max="11284" width="15.28515625" style="529" customWidth="1"/>
    <col min="11285" max="11285" width="13.28515625" style="529" customWidth="1"/>
    <col min="11286" max="11286" width="11.42578125" style="529"/>
    <col min="11287" max="11287" width="16.42578125" style="529" bestFit="1" customWidth="1"/>
    <col min="11288" max="11515" width="11.42578125" style="529"/>
    <col min="11516" max="11516" width="45" style="529" customWidth="1"/>
    <col min="11517" max="11517" width="15.7109375" style="529" customWidth="1"/>
    <col min="11518" max="11518" width="12" style="529" customWidth="1"/>
    <col min="11519" max="11520" width="10.85546875" style="529" bestFit="1" customWidth="1"/>
    <col min="11521" max="11521" width="9.5703125" style="529" bestFit="1" customWidth="1"/>
    <col min="11522" max="11522" width="11.7109375" style="529" customWidth="1"/>
    <col min="11523" max="11538" width="0" style="529" hidden="1" customWidth="1"/>
    <col min="11539" max="11539" width="11.42578125" style="529"/>
    <col min="11540" max="11540" width="15.28515625" style="529" customWidth="1"/>
    <col min="11541" max="11541" width="13.28515625" style="529" customWidth="1"/>
    <col min="11542" max="11542" width="11.42578125" style="529"/>
    <col min="11543" max="11543" width="16.42578125" style="529" bestFit="1" customWidth="1"/>
    <col min="11544" max="11771" width="11.42578125" style="529"/>
    <col min="11772" max="11772" width="45" style="529" customWidth="1"/>
    <col min="11773" max="11773" width="15.7109375" style="529" customWidth="1"/>
    <col min="11774" max="11774" width="12" style="529" customWidth="1"/>
    <col min="11775" max="11776" width="10.85546875" style="529" bestFit="1" customWidth="1"/>
    <col min="11777" max="11777" width="9.5703125" style="529" bestFit="1" customWidth="1"/>
    <col min="11778" max="11778" width="11.7109375" style="529" customWidth="1"/>
    <col min="11779" max="11794" width="0" style="529" hidden="1" customWidth="1"/>
    <col min="11795" max="11795" width="11.42578125" style="529"/>
    <col min="11796" max="11796" width="15.28515625" style="529" customWidth="1"/>
    <col min="11797" max="11797" width="13.28515625" style="529" customWidth="1"/>
    <col min="11798" max="11798" width="11.42578125" style="529"/>
    <col min="11799" max="11799" width="16.42578125" style="529" bestFit="1" customWidth="1"/>
    <col min="11800" max="12027" width="11.42578125" style="529"/>
    <col min="12028" max="12028" width="45" style="529" customWidth="1"/>
    <col min="12029" max="12029" width="15.7109375" style="529" customWidth="1"/>
    <col min="12030" max="12030" width="12" style="529" customWidth="1"/>
    <col min="12031" max="12032" width="10.85546875" style="529" bestFit="1" customWidth="1"/>
    <col min="12033" max="12033" width="9.5703125" style="529" bestFit="1" customWidth="1"/>
    <col min="12034" max="12034" width="11.7109375" style="529" customWidth="1"/>
    <col min="12035" max="12050" width="0" style="529" hidden="1" customWidth="1"/>
    <col min="12051" max="12051" width="11.42578125" style="529"/>
    <col min="12052" max="12052" width="15.28515625" style="529" customWidth="1"/>
    <col min="12053" max="12053" width="13.28515625" style="529" customWidth="1"/>
    <col min="12054" max="12054" width="11.42578125" style="529"/>
    <col min="12055" max="12055" width="16.42578125" style="529" bestFit="1" customWidth="1"/>
    <col min="12056" max="12283" width="11.42578125" style="529"/>
    <col min="12284" max="12284" width="45" style="529" customWidth="1"/>
    <col min="12285" max="12285" width="15.7109375" style="529" customWidth="1"/>
    <col min="12286" max="12286" width="12" style="529" customWidth="1"/>
    <col min="12287" max="12288" width="10.85546875" style="529" bestFit="1" customWidth="1"/>
    <col min="12289" max="12289" width="9.5703125" style="529" bestFit="1" customWidth="1"/>
    <col min="12290" max="12290" width="11.7109375" style="529" customWidth="1"/>
    <col min="12291" max="12306" width="0" style="529" hidden="1" customWidth="1"/>
    <col min="12307" max="12307" width="11.42578125" style="529"/>
    <col min="12308" max="12308" width="15.28515625" style="529" customWidth="1"/>
    <col min="12309" max="12309" width="13.28515625" style="529" customWidth="1"/>
    <col min="12310" max="12310" width="11.42578125" style="529"/>
    <col min="12311" max="12311" width="16.42578125" style="529" bestFit="1" customWidth="1"/>
    <col min="12312" max="12539" width="11.42578125" style="529"/>
    <col min="12540" max="12540" width="45" style="529" customWidth="1"/>
    <col min="12541" max="12541" width="15.7109375" style="529" customWidth="1"/>
    <col min="12542" max="12542" width="12" style="529" customWidth="1"/>
    <col min="12543" max="12544" width="10.85546875" style="529" bestFit="1" customWidth="1"/>
    <col min="12545" max="12545" width="9.5703125" style="529" bestFit="1" customWidth="1"/>
    <col min="12546" max="12546" width="11.7109375" style="529" customWidth="1"/>
    <col min="12547" max="12562" width="0" style="529" hidden="1" customWidth="1"/>
    <col min="12563" max="12563" width="11.42578125" style="529"/>
    <col min="12564" max="12564" width="15.28515625" style="529" customWidth="1"/>
    <col min="12565" max="12565" width="13.28515625" style="529" customWidth="1"/>
    <col min="12566" max="12566" width="11.42578125" style="529"/>
    <col min="12567" max="12567" width="16.42578125" style="529" bestFit="1" customWidth="1"/>
    <col min="12568" max="12795" width="11.42578125" style="529"/>
    <col min="12796" max="12796" width="45" style="529" customWidth="1"/>
    <col min="12797" max="12797" width="15.7109375" style="529" customWidth="1"/>
    <col min="12798" max="12798" width="12" style="529" customWidth="1"/>
    <col min="12799" max="12800" width="10.85546875" style="529" bestFit="1" customWidth="1"/>
    <col min="12801" max="12801" width="9.5703125" style="529" bestFit="1" customWidth="1"/>
    <col min="12802" max="12802" width="11.7109375" style="529" customWidth="1"/>
    <col min="12803" max="12818" width="0" style="529" hidden="1" customWidth="1"/>
    <col min="12819" max="12819" width="11.42578125" style="529"/>
    <col min="12820" max="12820" width="15.28515625" style="529" customWidth="1"/>
    <col min="12821" max="12821" width="13.28515625" style="529" customWidth="1"/>
    <col min="12822" max="12822" width="11.42578125" style="529"/>
    <col min="12823" max="12823" width="16.42578125" style="529" bestFit="1" customWidth="1"/>
    <col min="12824" max="13051" width="11.42578125" style="529"/>
    <col min="13052" max="13052" width="45" style="529" customWidth="1"/>
    <col min="13053" max="13053" width="15.7109375" style="529" customWidth="1"/>
    <col min="13054" max="13054" width="12" style="529" customWidth="1"/>
    <col min="13055" max="13056" width="10.85546875" style="529" bestFit="1" customWidth="1"/>
    <col min="13057" max="13057" width="9.5703125" style="529" bestFit="1" customWidth="1"/>
    <col min="13058" max="13058" width="11.7109375" style="529" customWidth="1"/>
    <col min="13059" max="13074" width="0" style="529" hidden="1" customWidth="1"/>
    <col min="13075" max="13075" width="11.42578125" style="529"/>
    <col min="13076" max="13076" width="15.28515625" style="529" customWidth="1"/>
    <col min="13077" max="13077" width="13.28515625" style="529" customWidth="1"/>
    <col min="13078" max="13078" width="11.42578125" style="529"/>
    <col min="13079" max="13079" width="16.42578125" style="529" bestFit="1" customWidth="1"/>
    <col min="13080" max="13307" width="11.42578125" style="529"/>
    <col min="13308" max="13308" width="45" style="529" customWidth="1"/>
    <col min="13309" max="13309" width="15.7109375" style="529" customWidth="1"/>
    <col min="13310" max="13310" width="12" style="529" customWidth="1"/>
    <col min="13311" max="13312" width="10.85546875" style="529" bestFit="1" customWidth="1"/>
    <col min="13313" max="13313" width="9.5703125" style="529" bestFit="1" customWidth="1"/>
    <col min="13314" max="13314" width="11.7109375" style="529" customWidth="1"/>
    <col min="13315" max="13330" width="0" style="529" hidden="1" customWidth="1"/>
    <col min="13331" max="13331" width="11.42578125" style="529"/>
    <col min="13332" max="13332" width="15.28515625" style="529" customWidth="1"/>
    <col min="13333" max="13333" width="13.28515625" style="529" customWidth="1"/>
    <col min="13334" max="13334" width="11.42578125" style="529"/>
    <col min="13335" max="13335" width="16.42578125" style="529" bestFit="1" customWidth="1"/>
    <col min="13336" max="13563" width="11.42578125" style="529"/>
    <col min="13564" max="13564" width="45" style="529" customWidth="1"/>
    <col min="13565" max="13565" width="15.7109375" style="529" customWidth="1"/>
    <col min="13566" max="13566" width="12" style="529" customWidth="1"/>
    <col min="13567" max="13568" width="10.85546875" style="529" bestFit="1" customWidth="1"/>
    <col min="13569" max="13569" width="9.5703125" style="529" bestFit="1" customWidth="1"/>
    <col min="13570" max="13570" width="11.7109375" style="529" customWidth="1"/>
    <col min="13571" max="13586" width="0" style="529" hidden="1" customWidth="1"/>
    <col min="13587" max="13587" width="11.42578125" style="529"/>
    <col min="13588" max="13588" width="15.28515625" style="529" customWidth="1"/>
    <col min="13589" max="13589" width="13.28515625" style="529" customWidth="1"/>
    <col min="13590" max="13590" width="11.42578125" style="529"/>
    <col min="13591" max="13591" width="16.42578125" style="529" bestFit="1" customWidth="1"/>
    <col min="13592" max="13819" width="11.42578125" style="529"/>
    <col min="13820" max="13820" width="45" style="529" customWidth="1"/>
    <col min="13821" max="13821" width="15.7109375" style="529" customWidth="1"/>
    <col min="13822" max="13822" width="12" style="529" customWidth="1"/>
    <col min="13823" max="13824" width="10.85546875" style="529" bestFit="1" customWidth="1"/>
    <col min="13825" max="13825" width="9.5703125" style="529" bestFit="1" customWidth="1"/>
    <col min="13826" max="13826" width="11.7109375" style="529" customWidth="1"/>
    <col min="13827" max="13842" width="0" style="529" hidden="1" customWidth="1"/>
    <col min="13843" max="13843" width="11.42578125" style="529"/>
    <col min="13844" max="13844" width="15.28515625" style="529" customWidth="1"/>
    <col min="13845" max="13845" width="13.28515625" style="529" customWidth="1"/>
    <col min="13846" max="13846" width="11.42578125" style="529"/>
    <col min="13847" max="13847" width="16.42578125" style="529" bestFit="1" customWidth="1"/>
    <col min="13848" max="14075" width="11.42578125" style="529"/>
    <col min="14076" max="14076" width="45" style="529" customWidth="1"/>
    <col min="14077" max="14077" width="15.7109375" style="529" customWidth="1"/>
    <col min="14078" max="14078" width="12" style="529" customWidth="1"/>
    <col min="14079" max="14080" width="10.85546875" style="529" bestFit="1" customWidth="1"/>
    <col min="14081" max="14081" width="9.5703125" style="529" bestFit="1" customWidth="1"/>
    <col min="14082" max="14082" width="11.7109375" style="529" customWidth="1"/>
    <col min="14083" max="14098" width="0" style="529" hidden="1" customWidth="1"/>
    <col min="14099" max="14099" width="11.42578125" style="529"/>
    <col min="14100" max="14100" width="15.28515625" style="529" customWidth="1"/>
    <col min="14101" max="14101" width="13.28515625" style="529" customWidth="1"/>
    <col min="14102" max="14102" width="11.42578125" style="529"/>
    <col min="14103" max="14103" width="16.42578125" style="529" bestFit="1" customWidth="1"/>
    <col min="14104" max="14331" width="11.42578125" style="529"/>
    <col min="14332" max="14332" width="45" style="529" customWidth="1"/>
    <col min="14333" max="14333" width="15.7109375" style="529" customWidth="1"/>
    <col min="14334" max="14334" width="12" style="529" customWidth="1"/>
    <col min="14335" max="14336" width="10.85546875" style="529" bestFit="1" customWidth="1"/>
    <col min="14337" max="14337" width="9.5703125" style="529" bestFit="1" customWidth="1"/>
    <col min="14338" max="14338" width="11.7109375" style="529" customWidth="1"/>
    <col min="14339" max="14354" width="0" style="529" hidden="1" customWidth="1"/>
    <col min="14355" max="14355" width="11.42578125" style="529"/>
    <col min="14356" max="14356" width="15.28515625" style="529" customWidth="1"/>
    <col min="14357" max="14357" width="13.28515625" style="529" customWidth="1"/>
    <col min="14358" max="14358" width="11.42578125" style="529"/>
    <col min="14359" max="14359" width="16.42578125" style="529" bestFit="1" customWidth="1"/>
    <col min="14360" max="14587" width="11.42578125" style="529"/>
    <col min="14588" max="14588" width="45" style="529" customWidth="1"/>
    <col min="14589" max="14589" width="15.7109375" style="529" customWidth="1"/>
    <col min="14590" max="14590" width="12" style="529" customWidth="1"/>
    <col min="14591" max="14592" width="10.85546875" style="529" bestFit="1" customWidth="1"/>
    <col min="14593" max="14593" width="9.5703125" style="529" bestFit="1" customWidth="1"/>
    <col min="14594" max="14594" width="11.7109375" style="529" customWidth="1"/>
    <col min="14595" max="14610" width="0" style="529" hidden="1" customWidth="1"/>
    <col min="14611" max="14611" width="11.42578125" style="529"/>
    <col min="14612" max="14612" width="15.28515625" style="529" customWidth="1"/>
    <col min="14613" max="14613" width="13.28515625" style="529" customWidth="1"/>
    <col min="14614" max="14614" width="11.42578125" style="529"/>
    <col min="14615" max="14615" width="16.42578125" style="529" bestFit="1" customWidth="1"/>
    <col min="14616" max="14843" width="11.42578125" style="529"/>
    <col min="14844" max="14844" width="45" style="529" customWidth="1"/>
    <col min="14845" max="14845" width="15.7109375" style="529" customWidth="1"/>
    <col min="14846" max="14846" width="12" style="529" customWidth="1"/>
    <col min="14847" max="14848" width="10.85546875" style="529" bestFit="1" customWidth="1"/>
    <col min="14849" max="14849" width="9.5703125" style="529" bestFit="1" customWidth="1"/>
    <col min="14850" max="14850" width="11.7109375" style="529" customWidth="1"/>
    <col min="14851" max="14866" width="0" style="529" hidden="1" customWidth="1"/>
    <col min="14867" max="14867" width="11.42578125" style="529"/>
    <col min="14868" max="14868" width="15.28515625" style="529" customWidth="1"/>
    <col min="14869" max="14869" width="13.28515625" style="529" customWidth="1"/>
    <col min="14870" max="14870" width="11.42578125" style="529"/>
    <col min="14871" max="14871" width="16.42578125" style="529" bestFit="1" customWidth="1"/>
    <col min="14872" max="15099" width="11.42578125" style="529"/>
    <col min="15100" max="15100" width="45" style="529" customWidth="1"/>
    <col min="15101" max="15101" width="15.7109375" style="529" customWidth="1"/>
    <col min="15102" max="15102" width="12" style="529" customWidth="1"/>
    <col min="15103" max="15104" width="10.85546875" style="529" bestFit="1" customWidth="1"/>
    <col min="15105" max="15105" width="9.5703125" style="529" bestFit="1" customWidth="1"/>
    <col min="15106" max="15106" width="11.7109375" style="529" customWidth="1"/>
    <col min="15107" max="15122" width="0" style="529" hidden="1" customWidth="1"/>
    <col min="15123" max="15123" width="11.42578125" style="529"/>
    <col min="15124" max="15124" width="15.28515625" style="529" customWidth="1"/>
    <col min="15125" max="15125" width="13.28515625" style="529" customWidth="1"/>
    <col min="15126" max="15126" width="11.42578125" style="529"/>
    <col min="15127" max="15127" width="16.42578125" style="529" bestFit="1" customWidth="1"/>
    <col min="15128" max="15355" width="11.42578125" style="529"/>
    <col min="15356" max="15356" width="45" style="529" customWidth="1"/>
    <col min="15357" max="15357" width="15.7109375" style="529" customWidth="1"/>
    <col min="15358" max="15358" width="12" style="529" customWidth="1"/>
    <col min="15359" max="15360" width="10.85546875" style="529" bestFit="1" customWidth="1"/>
    <col min="15361" max="15361" width="9.5703125" style="529" bestFit="1" customWidth="1"/>
    <col min="15362" max="15362" width="11.7109375" style="529" customWidth="1"/>
    <col min="15363" max="15378" width="0" style="529" hidden="1" customWidth="1"/>
    <col min="15379" max="15379" width="11.42578125" style="529"/>
    <col min="15380" max="15380" width="15.28515625" style="529" customWidth="1"/>
    <col min="15381" max="15381" width="13.28515625" style="529" customWidth="1"/>
    <col min="15382" max="15382" width="11.42578125" style="529"/>
    <col min="15383" max="15383" width="16.42578125" style="529" bestFit="1" customWidth="1"/>
    <col min="15384" max="15611" width="11.42578125" style="529"/>
    <col min="15612" max="15612" width="45" style="529" customWidth="1"/>
    <col min="15613" max="15613" width="15.7109375" style="529" customWidth="1"/>
    <col min="15614" max="15614" width="12" style="529" customWidth="1"/>
    <col min="15615" max="15616" width="10.85546875" style="529" bestFit="1" customWidth="1"/>
    <col min="15617" max="15617" width="9.5703125" style="529" bestFit="1" customWidth="1"/>
    <col min="15618" max="15618" width="11.7109375" style="529" customWidth="1"/>
    <col min="15619" max="15634" width="0" style="529" hidden="1" customWidth="1"/>
    <col min="15635" max="15635" width="11.42578125" style="529"/>
    <col min="15636" max="15636" width="15.28515625" style="529" customWidth="1"/>
    <col min="15637" max="15637" width="13.28515625" style="529" customWidth="1"/>
    <col min="15638" max="15638" width="11.42578125" style="529"/>
    <col min="15639" max="15639" width="16.42578125" style="529" bestFit="1" customWidth="1"/>
    <col min="15640" max="15867" width="11.42578125" style="529"/>
    <col min="15868" max="15868" width="45" style="529" customWidth="1"/>
    <col min="15869" max="15869" width="15.7109375" style="529" customWidth="1"/>
    <col min="15870" max="15870" width="12" style="529" customWidth="1"/>
    <col min="15871" max="15872" width="10.85546875" style="529" bestFit="1" customWidth="1"/>
    <col min="15873" max="15873" width="9.5703125" style="529" bestFit="1" customWidth="1"/>
    <col min="15874" max="15874" width="11.7109375" style="529" customWidth="1"/>
    <col min="15875" max="15890" width="0" style="529" hidden="1" customWidth="1"/>
    <col min="15891" max="15891" width="11.42578125" style="529"/>
    <col min="15892" max="15892" width="15.28515625" style="529" customWidth="1"/>
    <col min="15893" max="15893" width="13.28515625" style="529" customWidth="1"/>
    <col min="15894" max="15894" width="11.42578125" style="529"/>
    <col min="15895" max="15895" width="16.42578125" style="529" bestFit="1" customWidth="1"/>
    <col min="15896" max="16123" width="11.42578125" style="529"/>
    <col min="16124" max="16124" width="45" style="529" customWidth="1"/>
    <col min="16125" max="16125" width="15.7109375" style="529" customWidth="1"/>
    <col min="16126" max="16126" width="12" style="529" customWidth="1"/>
    <col min="16127" max="16128" width="10.85546875" style="529" bestFit="1" customWidth="1"/>
    <col min="16129" max="16129" width="9.5703125" style="529" bestFit="1" customWidth="1"/>
    <col min="16130" max="16130" width="11.7109375" style="529" customWidth="1"/>
    <col min="16131" max="16146" width="0" style="529" hidden="1" customWidth="1"/>
    <col min="16147" max="16147" width="11.42578125" style="529"/>
    <col min="16148" max="16148" width="15.28515625" style="529" customWidth="1"/>
    <col min="16149" max="16149" width="13.28515625" style="529" customWidth="1"/>
    <col min="16150" max="16150" width="11.42578125" style="529"/>
    <col min="16151" max="16151" width="16.42578125" style="529" bestFit="1" customWidth="1"/>
    <col min="16152" max="16384" width="11.42578125" style="529"/>
  </cols>
  <sheetData>
    <row r="1" spans="1:20" ht="12" x14ac:dyDescent="0.2">
      <c r="A1" s="907" t="s">
        <v>548</v>
      </c>
      <c r="B1" s="905"/>
      <c r="C1" s="905"/>
      <c r="D1" s="906"/>
      <c r="E1" s="906"/>
      <c r="F1" s="905"/>
      <c r="G1" s="905"/>
      <c r="H1" s="905"/>
      <c r="I1" s="905"/>
      <c r="J1" s="905"/>
      <c r="K1" s="905"/>
      <c r="L1" s="905"/>
      <c r="M1" s="905"/>
      <c r="N1" s="905"/>
    </row>
    <row r="2" spans="1:20" x14ac:dyDescent="0.2">
      <c r="A2" s="621" t="s">
        <v>549</v>
      </c>
      <c r="B2" s="621"/>
      <c r="C2" s="621"/>
      <c r="D2" s="904"/>
      <c r="E2" s="904"/>
      <c r="F2" s="621"/>
      <c r="G2" s="621"/>
      <c r="H2" s="903"/>
      <c r="I2" s="903"/>
      <c r="J2" s="903"/>
      <c r="K2" s="903"/>
      <c r="L2" s="902"/>
      <c r="M2" s="901"/>
      <c r="N2" s="901"/>
    </row>
    <row r="3" spans="1:20" x14ac:dyDescent="0.2">
      <c r="A3" s="558" t="s">
        <v>550</v>
      </c>
      <c r="B3" s="899"/>
      <c r="C3" s="899"/>
      <c r="D3" s="900"/>
      <c r="E3" s="900"/>
      <c r="F3" s="899"/>
      <c r="G3" s="899"/>
      <c r="H3" s="889"/>
      <c r="I3" s="889"/>
      <c r="J3" s="889"/>
      <c r="K3" s="890"/>
      <c r="L3" s="889"/>
      <c r="M3" s="892"/>
      <c r="N3" s="888"/>
    </row>
    <row r="4" spans="1:20" x14ac:dyDescent="0.2">
      <c r="A4" s="558" t="s">
        <v>551</v>
      </c>
      <c r="B4" s="908" t="str">
        <f>+ER!A1</f>
        <v>Empresa Comercial, SA de CV</v>
      </c>
      <c r="C4" s="897"/>
      <c r="D4" s="898"/>
      <c r="E4" s="898"/>
      <c r="F4" s="897"/>
      <c r="G4" s="897"/>
      <c r="H4" s="896"/>
      <c r="I4" s="896"/>
      <c r="J4" s="895"/>
      <c r="K4" s="894"/>
      <c r="L4" s="889"/>
      <c r="M4" s="892"/>
      <c r="N4" s="888"/>
    </row>
    <row r="5" spans="1:20" x14ac:dyDescent="0.2">
      <c r="A5" s="558" t="s">
        <v>552</v>
      </c>
      <c r="B5" s="889" t="s">
        <v>974</v>
      </c>
      <c r="C5" s="889"/>
      <c r="D5" s="893"/>
      <c r="E5" s="893"/>
      <c r="F5" s="889"/>
      <c r="G5" s="889"/>
      <c r="H5" s="889"/>
      <c r="I5" s="889"/>
      <c r="J5" s="889"/>
      <c r="K5" s="890"/>
      <c r="L5" s="889"/>
      <c r="M5" s="892"/>
      <c r="N5" s="888"/>
    </row>
    <row r="6" spans="1:20" x14ac:dyDescent="0.2">
      <c r="A6" s="558" t="s">
        <v>553</v>
      </c>
      <c r="B6" s="889" t="s">
        <v>973</v>
      </c>
      <c r="C6" s="889"/>
      <c r="D6" s="893"/>
      <c r="E6" s="893"/>
      <c r="F6" s="889"/>
      <c r="G6" s="889"/>
      <c r="H6" s="889"/>
      <c r="I6" s="889"/>
      <c r="J6" s="889"/>
      <c r="K6" s="890"/>
      <c r="L6" s="889"/>
      <c r="M6" s="892"/>
      <c r="N6" s="888"/>
    </row>
    <row r="7" spans="1:20" ht="22.5" x14ac:dyDescent="0.2">
      <c r="A7" s="558" t="s">
        <v>554</v>
      </c>
      <c r="B7" s="890" t="s">
        <v>972</v>
      </c>
      <c r="C7" s="890"/>
      <c r="D7" s="891"/>
      <c r="E7" s="891"/>
      <c r="F7" s="890"/>
      <c r="G7" s="890"/>
      <c r="H7" s="890"/>
      <c r="I7" s="890"/>
      <c r="J7" s="889"/>
      <c r="K7" s="890"/>
      <c r="L7" s="890"/>
      <c r="M7" s="889"/>
      <c r="N7" s="888"/>
    </row>
    <row r="8" spans="1:20" s="629" customFormat="1" ht="12" thickBot="1" x14ac:dyDescent="0.25">
      <c r="A8" s="887" t="s">
        <v>555</v>
      </c>
      <c r="B8" s="887">
        <v>2017</v>
      </c>
      <c r="C8" s="887">
        <v>2016</v>
      </c>
      <c r="D8" s="886" t="s">
        <v>971</v>
      </c>
      <c r="E8" s="886" t="s">
        <v>970</v>
      </c>
      <c r="F8" s="885" t="s">
        <v>963</v>
      </c>
      <c r="G8" s="885" t="s">
        <v>962</v>
      </c>
      <c r="H8" s="885" t="s">
        <v>961</v>
      </c>
      <c r="I8" s="885">
        <v>2010</v>
      </c>
      <c r="J8" s="885">
        <v>2009</v>
      </c>
      <c r="K8" s="885">
        <v>2008</v>
      </c>
      <c r="L8" s="885">
        <v>2007</v>
      </c>
      <c r="M8" s="885">
        <v>2006</v>
      </c>
      <c r="N8" s="885">
        <v>2005</v>
      </c>
      <c r="O8" s="884"/>
      <c r="P8" s="884"/>
      <c r="Q8" s="884"/>
      <c r="R8" s="884"/>
      <c r="S8" s="534"/>
      <c r="T8" s="534"/>
    </row>
    <row r="9" spans="1:20" ht="22.5" hidden="1" x14ac:dyDescent="0.2">
      <c r="A9" s="882" t="s">
        <v>982</v>
      </c>
      <c r="B9" s="1055" t="s">
        <v>866</v>
      </c>
      <c r="C9" s="1055" t="s">
        <v>866</v>
      </c>
      <c r="D9" s="1055" t="s">
        <v>866</v>
      </c>
      <c r="E9" s="1055" t="s">
        <v>866</v>
      </c>
      <c r="F9" s="871" t="s">
        <v>868</v>
      </c>
      <c r="G9" s="871" t="s">
        <v>868</v>
      </c>
      <c r="H9" s="871" t="s">
        <v>868</v>
      </c>
      <c r="I9" s="871" t="s">
        <v>868</v>
      </c>
      <c r="J9" s="871" t="s">
        <v>868</v>
      </c>
      <c r="K9" s="871" t="s">
        <v>868</v>
      </c>
      <c r="L9" s="871" t="s">
        <v>868</v>
      </c>
      <c r="M9" s="871" t="s">
        <v>868</v>
      </c>
      <c r="N9" s="871" t="s">
        <v>868</v>
      </c>
      <c r="S9" s="883"/>
      <c r="T9" s="883"/>
    </row>
    <row r="10" spans="1:20" ht="22.5" x14ac:dyDescent="0.2">
      <c r="A10" s="882" t="s">
        <v>969</v>
      </c>
      <c r="B10" s="871" t="s">
        <v>867</v>
      </c>
      <c r="C10" s="871" t="s">
        <v>867</v>
      </c>
      <c r="D10" s="871" t="s">
        <v>867</v>
      </c>
      <c r="E10" s="871" t="s">
        <v>867</v>
      </c>
      <c r="F10" s="871" t="s">
        <v>867</v>
      </c>
      <c r="G10" s="871" t="s">
        <v>867</v>
      </c>
      <c r="H10" s="871" t="s">
        <v>867</v>
      </c>
      <c r="I10" s="871" t="s">
        <v>867</v>
      </c>
      <c r="J10" s="871" t="s">
        <v>867</v>
      </c>
      <c r="K10" s="871" t="s">
        <v>867</v>
      </c>
      <c r="L10" s="871" t="s">
        <v>867</v>
      </c>
      <c r="M10" s="871" t="s">
        <v>867</v>
      </c>
      <c r="N10" s="871" t="s">
        <v>867</v>
      </c>
    </row>
    <row r="11" spans="1:20" ht="22.5" x14ac:dyDescent="0.2">
      <c r="A11" s="873" t="s">
        <v>557</v>
      </c>
      <c r="B11" s="871" t="s">
        <v>867</v>
      </c>
      <c r="C11" s="871" t="s">
        <v>867</v>
      </c>
      <c r="D11" s="871" t="s">
        <v>867</v>
      </c>
      <c r="E11" s="871" t="s">
        <v>867</v>
      </c>
      <c r="F11" s="871" t="s">
        <v>867</v>
      </c>
      <c r="G11" s="871" t="s">
        <v>867</v>
      </c>
      <c r="H11" s="871" t="s">
        <v>867</v>
      </c>
      <c r="I11" s="871" t="s">
        <v>867</v>
      </c>
      <c r="J11" s="871" t="s">
        <v>867</v>
      </c>
      <c r="K11" s="871" t="s">
        <v>867</v>
      </c>
      <c r="L11" s="871" t="s">
        <v>867</v>
      </c>
      <c r="M11" s="871" t="s">
        <v>867</v>
      </c>
      <c r="N11" s="871" t="s">
        <v>867</v>
      </c>
    </row>
    <row r="12" spans="1:20" ht="22.5" x14ac:dyDescent="0.2">
      <c r="A12" s="873" t="s">
        <v>558</v>
      </c>
      <c r="B12" s="915" t="s">
        <v>865</v>
      </c>
      <c r="C12" s="915" t="s">
        <v>865</v>
      </c>
      <c r="D12" s="915" t="s">
        <v>864</v>
      </c>
      <c r="E12" s="915" t="s">
        <v>864</v>
      </c>
      <c r="F12" s="915" t="s">
        <v>863</v>
      </c>
      <c r="G12" s="915" t="s">
        <v>863</v>
      </c>
      <c r="H12" s="915" t="s">
        <v>863</v>
      </c>
      <c r="I12" s="626" t="s">
        <v>863</v>
      </c>
      <c r="J12" s="626" t="s">
        <v>863</v>
      </c>
      <c r="K12" s="560" t="s">
        <v>863</v>
      </c>
      <c r="L12" s="626" t="s">
        <v>863</v>
      </c>
      <c r="M12" s="626" t="s">
        <v>863</v>
      </c>
      <c r="N12" s="626" t="s">
        <v>863</v>
      </c>
    </row>
    <row r="13" spans="1:20" ht="22.5" x14ac:dyDescent="0.2">
      <c r="A13" s="873" t="s">
        <v>983</v>
      </c>
      <c r="B13" s="873"/>
      <c r="C13" s="873"/>
      <c r="D13" s="881"/>
      <c r="E13" s="881"/>
      <c r="F13" s="880"/>
      <c r="G13" s="880"/>
      <c r="H13" s="880"/>
      <c r="I13" s="880"/>
      <c r="J13" s="880"/>
      <c r="K13" s="880"/>
      <c r="L13" s="880"/>
      <c r="M13" s="879"/>
      <c r="N13" s="879"/>
    </row>
    <row r="14" spans="1:20" ht="22.5" x14ac:dyDescent="0.2">
      <c r="A14" s="609" t="s">
        <v>559</v>
      </c>
      <c r="B14" s="878"/>
      <c r="C14" s="878"/>
      <c r="D14" s="877"/>
      <c r="E14" s="877"/>
      <c r="F14" s="876"/>
      <c r="G14" s="876"/>
      <c r="H14" s="875"/>
      <c r="I14" s="875"/>
      <c r="J14" s="875"/>
      <c r="K14" s="875"/>
      <c r="L14" s="875"/>
      <c r="M14" s="874"/>
      <c r="N14" s="874"/>
    </row>
    <row r="15" spans="1:20" ht="22.5" x14ac:dyDescent="0.2">
      <c r="A15" s="873" t="s">
        <v>968</v>
      </c>
      <c r="B15" s="871" t="s">
        <v>867</v>
      </c>
      <c r="C15" s="871" t="s">
        <v>867</v>
      </c>
      <c r="D15" s="872" t="s">
        <v>867</v>
      </c>
      <c r="E15" s="872" t="s">
        <v>867</v>
      </c>
      <c r="F15" s="871" t="s">
        <v>867</v>
      </c>
      <c r="G15" s="871" t="s">
        <v>867</v>
      </c>
      <c r="H15" s="871" t="s">
        <v>867</v>
      </c>
      <c r="I15" s="871" t="s">
        <v>867</v>
      </c>
      <c r="J15" s="871" t="s">
        <v>867</v>
      </c>
      <c r="K15" s="871" t="s">
        <v>867</v>
      </c>
      <c r="L15" s="871" t="s">
        <v>868</v>
      </c>
      <c r="M15" s="871" t="s">
        <v>868</v>
      </c>
      <c r="N15" s="871" t="s">
        <v>868</v>
      </c>
    </row>
    <row r="16" spans="1:20" ht="33.75" x14ac:dyDescent="0.2">
      <c r="A16" s="873" t="s">
        <v>986</v>
      </c>
      <c r="B16" s="871" t="s">
        <v>867</v>
      </c>
      <c r="C16" s="871" t="s">
        <v>867</v>
      </c>
      <c r="D16" s="872" t="s">
        <v>867</v>
      </c>
      <c r="E16" s="872" t="s">
        <v>867</v>
      </c>
      <c r="F16" s="871" t="s">
        <v>867</v>
      </c>
      <c r="G16" s="871" t="s">
        <v>867</v>
      </c>
      <c r="H16" s="871" t="s">
        <v>867</v>
      </c>
      <c r="I16" s="871" t="s">
        <v>867</v>
      </c>
      <c r="J16" s="871" t="s">
        <v>867</v>
      </c>
      <c r="K16" s="871" t="s">
        <v>867</v>
      </c>
      <c r="L16" s="871" t="s">
        <v>868</v>
      </c>
      <c r="M16" s="871" t="s">
        <v>868</v>
      </c>
      <c r="N16" s="871" t="s">
        <v>868</v>
      </c>
    </row>
    <row r="17" spans="1:20" x14ac:dyDescent="0.2">
      <c r="A17" s="832"/>
      <c r="B17" s="832"/>
      <c r="C17" s="832"/>
      <c r="D17" s="870"/>
      <c r="E17" s="870"/>
      <c r="F17" s="832"/>
      <c r="G17" s="832"/>
      <c r="H17" s="832"/>
      <c r="I17" s="832"/>
      <c r="J17" s="832"/>
      <c r="K17" s="832"/>
      <c r="L17" s="832"/>
      <c r="M17" s="832"/>
      <c r="N17" s="869"/>
    </row>
    <row r="18" spans="1:20" x14ac:dyDescent="0.2">
      <c r="A18" s="677"/>
      <c r="B18" s="868">
        <f>+B8</f>
        <v>2017</v>
      </c>
      <c r="C18" s="868">
        <v>2016</v>
      </c>
      <c r="D18" s="867">
        <v>2015</v>
      </c>
      <c r="E18" s="867" t="str">
        <f>+E8</f>
        <v>2014 comp</v>
      </c>
      <c r="F18" s="733" t="s">
        <v>963</v>
      </c>
      <c r="G18" s="733" t="s">
        <v>962</v>
      </c>
      <c r="H18" s="733" t="s">
        <v>961</v>
      </c>
      <c r="I18" s="733">
        <v>2010</v>
      </c>
      <c r="J18" s="733">
        <v>2009</v>
      </c>
      <c r="K18" s="733">
        <v>2008</v>
      </c>
      <c r="L18" s="733">
        <v>2007</v>
      </c>
      <c r="M18" s="733">
        <v>2006</v>
      </c>
      <c r="N18" s="733">
        <v>2005</v>
      </c>
    </row>
    <row r="19" spans="1:20" x14ac:dyDescent="0.2">
      <c r="A19" s="674" t="s">
        <v>981</v>
      </c>
      <c r="B19" s="588" t="s">
        <v>560</v>
      </c>
      <c r="C19" s="588" t="s">
        <v>560</v>
      </c>
      <c r="D19" s="588" t="s">
        <v>560</v>
      </c>
      <c r="E19" s="588" t="s">
        <v>560</v>
      </c>
      <c r="F19" s="588" t="s">
        <v>560</v>
      </c>
      <c r="G19" s="588" t="s">
        <v>560</v>
      </c>
      <c r="H19" s="588" t="s">
        <v>560</v>
      </c>
      <c r="I19" s="588" t="s">
        <v>560</v>
      </c>
      <c r="J19" s="588" t="s">
        <v>560</v>
      </c>
      <c r="K19" s="588" t="s">
        <v>560</v>
      </c>
      <c r="L19" s="588" t="s">
        <v>560</v>
      </c>
      <c r="M19" s="588" t="s">
        <v>560</v>
      </c>
      <c r="N19" s="588" t="s">
        <v>560</v>
      </c>
    </row>
    <row r="20" spans="1:20" x14ac:dyDescent="0.2">
      <c r="A20" s="866" t="s">
        <v>987</v>
      </c>
      <c r="B20" s="864">
        <f>+B222</f>
        <v>58169</v>
      </c>
      <c r="C20" s="864">
        <v>29626</v>
      </c>
      <c r="D20" s="865"/>
      <c r="E20" s="863">
        <v>19508</v>
      </c>
      <c r="F20" s="864" t="s">
        <v>967</v>
      </c>
      <c r="G20" s="864">
        <v>38320</v>
      </c>
      <c r="H20" s="559">
        <v>34437</v>
      </c>
      <c r="I20" s="558"/>
      <c r="J20" s="558"/>
      <c r="K20" s="558"/>
      <c r="L20" s="568">
        <v>185950</v>
      </c>
      <c r="M20" s="568"/>
      <c r="N20" s="568"/>
    </row>
    <row r="21" spans="1:20" x14ac:dyDescent="0.2">
      <c r="A21" s="635" t="s">
        <v>966</v>
      </c>
      <c r="B21" s="635"/>
      <c r="C21" s="635"/>
      <c r="D21" s="647"/>
      <c r="E21" s="863">
        <v>12462.19</v>
      </c>
      <c r="F21" s="862">
        <v>31187.42</v>
      </c>
      <c r="G21" s="862">
        <v>31278</v>
      </c>
      <c r="H21" s="861">
        <v>2170</v>
      </c>
      <c r="I21" s="635"/>
      <c r="J21" s="635"/>
      <c r="K21" s="635"/>
      <c r="L21" s="568"/>
      <c r="M21" s="568"/>
      <c r="N21" s="568"/>
    </row>
    <row r="22" spans="1:20" x14ac:dyDescent="0.2">
      <c r="A22" s="677"/>
      <c r="B22" s="677"/>
      <c r="C22" s="677"/>
      <c r="D22" s="766"/>
      <c r="E22" s="766"/>
      <c r="F22" s="677"/>
      <c r="G22" s="677"/>
      <c r="H22" s="677"/>
      <c r="I22" s="677"/>
      <c r="J22" s="677"/>
      <c r="K22" s="677"/>
      <c r="L22" s="677"/>
      <c r="M22" s="860"/>
      <c r="N22" s="860"/>
    </row>
    <row r="23" spans="1:20" x14ac:dyDescent="0.2">
      <c r="A23" s="593"/>
      <c r="B23" s="733">
        <f t="shared" ref="B23:N23" si="0">+B18</f>
        <v>2017</v>
      </c>
      <c r="C23" s="733">
        <f t="shared" si="0"/>
        <v>2016</v>
      </c>
      <c r="D23" s="733">
        <f t="shared" si="0"/>
        <v>2015</v>
      </c>
      <c r="E23" s="733" t="str">
        <f t="shared" si="0"/>
        <v>2014 comp</v>
      </c>
      <c r="F23" s="733" t="str">
        <f t="shared" si="0"/>
        <v>2013 CXD</v>
      </c>
      <c r="G23" s="733" t="str">
        <f t="shared" si="0"/>
        <v>2012 CD</v>
      </c>
      <c r="H23" s="733" t="str">
        <f t="shared" si="0"/>
        <v>2011 CD</v>
      </c>
      <c r="I23" s="733">
        <f t="shared" si="0"/>
        <v>2010</v>
      </c>
      <c r="J23" s="733">
        <f t="shared" si="0"/>
        <v>2009</v>
      </c>
      <c r="K23" s="733">
        <f t="shared" si="0"/>
        <v>2008</v>
      </c>
      <c r="L23" s="733">
        <f t="shared" si="0"/>
        <v>2007</v>
      </c>
      <c r="M23" s="733">
        <f t="shared" si="0"/>
        <v>2006</v>
      </c>
      <c r="N23" s="733">
        <f t="shared" si="0"/>
        <v>2005</v>
      </c>
    </row>
    <row r="24" spans="1:20" x14ac:dyDescent="0.2">
      <c r="A24" s="674" t="s">
        <v>84</v>
      </c>
      <c r="B24" s="588" t="s">
        <v>560</v>
      </c>
      <c r="C24" s="588" t="s">
        <v>560</v>
      </c>
      <c r="D24" s="588" t="s">
        <v>560</v>
      </c>
      <c r="E24" s="588" t="s">
        <v>560</v>
      </c>
      <c r="F24" s="588" t="s">
        <v>560</v>
      </c>
      <c r="G24" s="588" t="s">
        <v>560</v>
      </c>
      <c r="H24" s="588" t="s">
        <v>560</v>
      </c>
      <c r="I24" s="588" t="s">
        <v>560</v>
      </c>
      <c r="J24" s="588" t="s">
        <v>560</v>
      </c>
      <c r="K24" s="588" t="s">
        <v>560</v>
      </c>
      <c r="L24" s="588" t="s">
        <v>560</v>
      </c>
      <c r="M24" s="588" t="s">
        <v>560</v>
      </c>
      <c r="N24" s="588" t="s">
        <v>560</v>
      </c>
    </row>
    <row r="25" spans="1:20" ht="22.5" x14ac:dyDescent="0.2">
      <c r="A25" s="558" t="s">
        <v>561</v>
      </c>
      <c r="B25" s="654"/>
      <c r="C25" s="654"/>
      <c r="D25" s="653">
        <v>144840</v>
      </c>
      <c r="E25" s="653"/>
      <c r="F25" s="559">
        <v>99671.32141964804</v>
      </c>
      <c r="G25" s="558"/>
      <c r="H25" s="558"/>
      <c r="I25" s="558"/>
      <c r="J25" s="558"/>
      <c r="K25" s="558"/>
      <c r="L25" s="568"/>
      <c r="M25" s="568"/>
      <c r="N25" s="568"/>
    </row>
    <row r="26" spans="1:20" x14ac:dyDescent="0.2">
      <c r="A26" s="558" t="s">
        <v>85</v>
      </c>
      <c r="B26" s="652">
        <f>+'Otros puntos CCF'!B99</f>
        <v>2355000</v>
      </c>
      <c r="C26" s="652">
        <v>1736687.0333333332</v>
      </c>
      <c r="D26" s="666">
        <v>1951057.2625</v>
      </c>
      <c r="E26" s="666">
        <v>1771643.2558333336</v>
      </c>
      <c r="F26" s="559">
        <v>978397.86916666687</v>
      </c>
      <c r="G26" s="559">
        <v>1620718.9633333331</v>
      </c>
      <c r="H26" s="568">
        <v>1299437.7575000003</v>
      </c>
      <c r="I26" s="568"/>
      <c r="J26" s="568">
        <v>5427905</v>
      </c>
      <c r="K26" s="568">
        <v>5427905</v>
      </c>
      <c r="L26" s="568">
        <v>5427905</v>
      </c>
      <c r="M26" s="568"/>
      <c r="N26" s="568"/>
    </row>
    <row r="27" spans="1:20" x14ac:dyDescent="0.2">
      <c r="A27" s="558" t="s">
        <v>86</v>
      </c>
      <c r="B27" s="652">
        <f>+'Otros puntos CCF'!B100</f>
        <v>1955000</v>
      </c>
      <c r="C27" s="652">
        <v>1045024.5183333332</v>
      </c>
      <c r="D27" s="666">
        <v>1303914.561666667</v>
      </c>
      <c r="E27" s="666">
        <v>1390475.3681626667</v>
      </c>
      <c r="F27" s="559">
        <v>745590.85750000004</v>
      </c>
      <c r="G27" s="559">
        <v>915351.84999999974</v>
      </c>
      <c r="H27" s="568">
        <v>927756.57583333331</v>
      </c>
      <c r="I27" s="568"/>
      <c r="J27" s="568">
        <v>1190219</v>
      </c>
      <c r="K27" s="568">
        <v>1190219</v>
      </c>
      <c r="L27" s="568">
        <v>1190219</v>
      </c>
      <c r="M27" s="568"/>
      <c r="N27" s="568"/>
    </row>
    <row r="28" spans="1:20" ht="22.5" x14ac:dyDescent="0.2">
      <c r="A28" s="558" t="s">
        <v>87</v>
      </c>
      <c r="B28" s="858">
        <f>+'PP ISR'!N6</f>
        <v>0.1111</v>
      </c>
      <c r="C28" s="858">
        <v>2.5044425620576061E-2</v>
      </c>
      <c r="D28" s="858">
        <v>2.3430363309761382E-3</v>
      </c>
      <c r="E28" s="859">
        <v>7.5241916411857906E-3</v>
      </c>
      <c r="F28" s="858">
        <v>4.2700000000000002E-2</v>
      </c>
      <c r="G28" s="858">
        <v>4.2700000000000002E-2</v>
      </c>
      <c r="H28" s="857">
        <v>5.3101827474857026E-2</v>
      </c>
      <c r="I28" s="857">
        <v>0.1222</v>
      </c>
      <c r="J28" s="857">
        <v>0.1222</v>
      </c>
      <c r="K28" s="856">
        <v>7.2700000000000001E-2</v>
      </c>
      <c r="L28" s="856">
        <v>7.2700000000000001E-2</v>
      </c>
      <c r="M28" s="856">
        <v>7.2700000000000001E-2</v>
      </c>
      <c r="N28" s="856">
        <v>7.2700000000000001E-2</v>
      </c>
    </row>
    <row r="29" spans="1:20" x14ac:dyDescent="0.2">
      <c r="A29" s="558" t="s">
        <v>988</v>
      </c>
      <c r="B29" s="559"/>
      <c r="C29" s="559">
        <v>429269.30014009832</v>
      </c>
      <c r="D29" s="697">
        <v>428783</v>
      </c>
      <c r="E29" s="697">
        <v>706909.11569484218</v>
      </c>
      <c r="F29" s="559">
        <v>633933.12019767286</v>
      </c>
      <c r="G29" s="559">
        <v>648014</v>
      </c>
      <c r="H29" s="568">
        <v>457328.53558849462</v>
      </c>
      <c r="I29" s="568"/>
      <c r="J29" s="568"/>
      <c r="K29" s="568"/>
      <c r="L29" s="568"/>
      <c r="M29" s="568"/>
      <c r="N29" s="568"/>
      <c r="T29" s="667"/>
    </row>
    <row r="30" spans="1:20" x14ac:dyDescent="0.2">
      <c r="A30" s="558" t="s">
        <v>989</v>
      </c>
      <c r="B30" s="559"/>
      <c r="C30" s="559">
        <v>429269.30014009832</v>
      </c>
      <c r="D30" s="697">
        <v>428783</v>
      </c>
      <c r="E30" s="697">
        <v>706909.11569484218</v>
      </c>
      <c r="F30" s="559">
        <v>633933.12019767286</v>
      </c>
      <c r="G30" s="559">
        <v>648014</v>
      </c>
      <c r="H30" s="568">
        <v>457328.53558849462</v>
      </c>
      <c r="I30" s="568"/>
      <c r="J30" s="568"/>
      <c r="K30" s="568"/>
      <c r="L30" s="568"/>
      <c r="M30" s="568"/>
      <c r="N30" s="568"/>
      <c r="T30" s="667"/>
    </row>
    <row r="31" spans="1:20" x14ac:dyDescent="0.2">
      <c r="A31" s="558" t="s">
        <v>984</v>
      </c>
      <c r="B31" s="558"/>
      <c r="C31" s="558"/>
      <c r="D31" s="642"/>
      <c r="E31" s="642"/>
      <c r="F31" s="558"/>
      <c r="G31" s="558"/>
      <c r="H31" s="568"/>
      <c r="I31" s="568"/>
      <c r="J31" s="568"/>
      <c r="K31" s="568"/>
      <c r="L31" s="568"/>
      <c r="M31" s="568"/>
      <c r="N31" s="568"/>
    </row>
    <row r="32" spans="1:20" ht="22.5" x14ac:dyDescent="0.2">
      <c r="A32" s="558" t="s">
        <v>562</v>
      </c>
      <c r="B32" s="700"/>
      <c r="C32" s="700">
        <v>154391.35556959134</v>
      </c>
      <c r="D32" s="699">
        <v>149372.44153404734</v>
      </c>
      <c r="E32" s="699">
        <v>146256</v>
      </c>
      <c r="F32" s="700">
        <v>140520.91639781438</v>
      </c>
      <c r="G32" s="700">
        <v>135150</v>
      </c>
      <c r="H32" s="568">
        <v>130504</v>
      </c>
      <c r="I32" s="568"/>
      <c r="J32" s="568">
        <v>5254130</v>
      </c>
      <c r="K32" s="568">
        <v>5254130</v>
      </c>
      <c r="L32" s="568">
        <v>5254130</v>
      </c>
      <c r="M32" s="568"/>
      <c r="N32" s="568"/>
    </row>
    <row r="33" spans="1:16" x14ac:dyDescent="0.2">
      <c r="A33" s="558" t="s">
        <v>990</v>
      </c>
      <c r="B33" s="700"/>
      <c r="C33" s="700"/>
      <c r="D33" s="699"/>
      <c r="E33" s="699"/>
      <c r="F33" s="700"/>
      <c r="G33" s="700"/>
      <c r="H33" s="568"/>
      <c r="I33" s="568"/>
      <c r="J33" s="568"/>
      <c r="K33" s="568"/>
      <c r="L33" s="568"/>
      <c r="M33" s="568"/>
      <c r="N33" s="568"/>
      <c r="P33" s="855"/>
    </row>
    <row r="34" spans="1:16" ht="22.5" hidden="1" x14ac:dyDescent="0.2">
      <c r="A34" s="558" t="s">
        <v>88</v>
      </c>
      <c r="B34" s="558"/>
      <c r="C34" s="558"/>
      <c r="D34" s="642"/>
      <c r="E34" s="642"/>
      <c r="F34" s="558"/>
      <c r="G34" s="558"/>
      <c r="H34" s="759"/>
      <c r="I34" s="759"/>
      <c r="J34" s="759"/>
      <c r="K34" s="759"/>
      <c r="L34" s="568"/>
      <c r="M34" s="568"/>
      <c r="N34" s="568"/>
    </row>
    <row r="35" spans="1:16" x14ac:dyDescent="0.2">
      <c r="A35" s="853"/>
      <c r="B35" s="853"/>
      <c r="C35" s="853"/>
      <c r="D35" s="854"/>
      <c r="E35" s="854"/>
      <c r="F35" s="853"/>
      <c r="G35" s="853"/>
      <c r="H35" s="852"/>
      <c r="I35" s="852"/>
      <c r="J35" s="852"/>
      <c r="K35" s="852"/>
      <c r="L35" s="851"/>
      <c r="M35" s="851"/>
      <c r="N35" s="851"/>
    </row>
    <row r="36" spans="1:16" x14ac:dyDescent="0.2">
      <c r="A36" s="677"/>
      <c r="B36" s="733">
        <f>+B23</f>
        <v>2017</v>
      </c>
      <c r="C36" s="733">
        <f>+C23</f>
        <v>2016</v>
      </c>
      <c r="D36" s="733">
        <f>+D23</f>
        <v>2015</v>
      </c>
      <c r="E36" s="733" t="str">
        <f>+E23</f>
        <v>2014 comp</v>
      </c>
      <c r="F36" s="733" t="str">
        <f>+F23</f>
        <v>2013 CXD</v>
      </c>
      <c r="G36" s="733" t="str">
        <f>+G23</f>
        <v>2012 CD</v>
      </c>
      <c r="H36" s="733" t="str">
        <f>+H23</f>
        <v>2011 CD</v>
      </c>
      <c r="I36" s="733">
        <f>+I23</f>
        <v>2010</v>
      </c>
      <c r="J36" s="733">
        <f>+J23</f>
        <v>2009</v>
      </c>
      <c r="K36" s="733">
        <f>+K23</f>
        <v>2008</v>
      </c>
      <c r="L36" s="733">
        <f>+L23</f>
        <v>2007</v>
      </c>
      <c r="M36" s="733">
        <f>+M23</f>
        <v>2006</v>
      </c>
      <c r="N36" s="733">
        <f>+N23</f>
        <v>2005</v>
      </c>
    </row>
    <row r="37" spans="1:16" x14ac:dyDescent="0.2">
      <c r="A37" s="674" t="s">
        <v>99</v>
      </c>
      <c r="B37" s="588" t="s">
        <v>869</v>
      </c>
      <c r="C37" s="588" t="s">
        <v>869</v>
      </c>
      <c r="D37" s="588" t="s">
        <v>869</v>
      </c>
      <c r="E37" s="588" t="s">
        <v>869</v>
      </c>
      <c r="F37" s="588" t="s">
        <v>869</v>
      </c>
      <c r="G37" s="588" t="s">
        <v>869</v>
      </c>
      <c r="H37" s="588" t="s">
        <v>560</v>
      </c>
      <c r="I37" s="588" t="s">
        <v>560</v>
      </c>
      <c r="J37" s="588" t="s">
        <v>560</v>
      </c>
      <c r="K37" s="588" t="s">
        <v>560</v>
      </c>
      <c r="L37" s="588" t="s">
        <v>560</v>
      </c>
      <c r="M37" s="588" t="s">
        <v>560</v>
      </c>
      <c r="N37" s="588" t="s">
        <v>560</v>
      </c>
    </row>
    <row r="38" spans="1:16" x14ac:dyDescent="0.2">
      <c r="A38" s="558" t="s">
        <v>991</v>
      </c>
      <c r="B38" s="558"/>
      <c r="C38" s="558"/>
      <c r="D38" s="642"/>
      <c r="E38" s="642"/>
      <c r="F38" s="558"/>
      <c r="G38" s="558"/>
      <c r="H38" s="558"/>
      <c r="I38" s="558"/>
      <c r="J38" s="558"/>
      <c r="K38" s="558"/>
      <c r="L38" s="568"/>
      <c r="M38" s="568"/>
      <c r="N38" s="568"/>
    </row>
    <row r="39" spans="1:16" x14ac:dyDescent="0.2">
      <c r="A39" s="558" t="s">
        <v>992</v>
      </c>
      <c r="B39" s="558"/>
      <c r="C39" s="558"/>
      <c r="D39" s="642"/>
      <c r="E39" s="642"/>
      <c r="F39" s="558"/>
      <c r="G39" s="558"/>
      <c r="H39" s="558"/>
      <c r="I39" s="558"/>
      <c r="J39" s="558"/>
      <c r="K39" s="558"/>
      <c r="L39" s="568"/>
      <c r="M39" s="568"/>
      <c r="N39" s="568"/>
    </row>
    <row r="40" spans="1:16" x14ac:dyDescent="0.2">
      <c r="A40" s="558" t="s">
        <v>985</v>
      </c>
      <c r="B40" s="558"/>
      <c r="C40" s="558"/>
      <c r="D40" s="642"/>
      <c r="E40" s="642"/>
      <c r="F40" s="558"/>
      <c r="G40" s="558"/>
      <c r="H40" s="558"/>
      <c r="I40" s="558"/>
      <c r="J40" s="558"/>
      <c r="K40" s="558"/>
      <c r="L40" s="568"/>
      <c r="M40" s="568"/>
      <c r="N40" s="568"/>
    </row>
    <row r="41" spans="1:16" x14ac:dyDescent="0.2">
      <c r="A41" s="558" t="s">
        <v>563</v>
      </c>
      <c r="B41" s="558"/>
      <c r="C41" s="558"/>
      <c r="D41" s="642"/>
      <c r="E41" s="642"/>
      <c r="F41" s="558"/>
      <c r="G41" s="558"/>
      <c r="H41" s="558"/>
      <c r="I41" s="558"/>
      <c r="J41" s="558"/>
      <c r="K41" s="558"/>
      <c r="L41" s="568"/>
      <c r="M41" s="568"/>
      <c r="N41" s="568"/>
    </row>
    <row r="42" spans="1:16" x14ac:dyDescent="0.2">
      <c r="A42" s="558" t="s">
        <v>564</v>
      </c>
      <c r="B42" s="558"/>
      <c r="C42" s="558"/>
      <c r="D42" s="642"/>
      <c r="E42" s="642"/>
      <c r="F42" s="558"/>
      <c r="G42" s="558"/>
      <c r="H42" s="558"/>
      <c r="I42" s="558"/>
      <c r="J42" s="558"/>
      <c r="K42" s="558"/>
      <c r="L42" s="568"/>
      <c r="M42" s="568"/>
      <c r="N42" s="568"/>
    </row>
    <row r="43" spans="1:16" ht="22.5" x14ac:dyDescent="0.2">
      <c r="A43" s="558" t="s">
        <v>565</v>
      </c>
      <c r="B43" s="558"/>
      <c r="C43" s="558"/>
      <c r="D43" s="642"/>
      <c r="E43" s="642"/>
      <c r="F43" s="558"/>
      <c r="G43" s="558"/>
      <c r="H43" s="558"/>
      <c r="I43" s="558"/>
      <c r="J43" s="558"/>
      <c r="K43" s="558"/>
      <c r="L43" s="568"/>
      <c r="M43" s="568"/>
      <c r="N43" s="568"/>
    </row>
    <row r="44" spans="1:16" ht="22.5" x14ac:dyDescent="0.2">
      <c r="A44" s="558" t="s">
        <v>566</v>
      </c>
      <c r="B44" s="558"/>
      <c r="C44" s="558"/>
      <c r="D44" s="642"/>
      <c r="E44" s="642"/>
      <c r="F44" s="558"/>
      <c r="G44" s="558"/>
      <c r="H44" s="558"/>
      <c r="I44" s="558"/>
      <c r="J44" s="558"/>
      <c r="K44" s="558"/>
      <c r="L44" s="568"/>
      <c r="M44" s="568"/>
      <c r="N44" s="568"/>
    </row>
    <row r="45" spans="1:16" ht="22.5" x14ac:dyDescent="0.2">
      <c r="A45" s="558" t="s">
        <v>993</v>
      </c>
      <c r="B45" s="558"/>
      <c r="C45" s="558"/>
      <c r="D45" s="642"/>
      <c r="E45" s="642"/>
      <c r="F45" s="558"/>
      <c r="G45" s="558"/>
      <c r="H45" s="558"/>
      <c r="I45" s="558"/>
      <c r="J45" s="558"/>
      <c r="K45" s="558"/>
      <c r="L45" s="568"/>
      <c r="M45" s="568"/>
      <c r="N45" s="568"/>
    </row>
    <row r="46" spans="1:16" x14ac:dyDescent="0.2">
      <c r="A46" s="677"/>
      <c r="B46" s="677"/>
      <c r="C46" s="677"/>
      <c r="D46" s="766"/>
      <c r="E46" s="766"/>
      <c r="F46" s="677"/>
      <c r="G46" s="677"/>
      <c r="H46" s="677"/>
      <c r="I46" s="677"/>
      <c r="J46" s="677"/>
      <c r="K46" s="677"/>
      <c r="L46" s="677"/>
      <c r="M46" s="676"/>
      <c r="N46" s="676"/>
    </row>
    <row r="47" spans="1:16" x14ac:dyDescent="0.2">
      <c r="A47" s="778"/>
      <c r="B47" s="590">
        <f t="shared" ref="B47:N47" si="1">+B36</f>
        <v>2017</v>
      </c>
      <c r="C47" s="590">
        <f t="shared" si="1"/>
        <v>2016</v>
      </c>
      <c r="D47" s="590">
        <f t="shared" si="1"/>
        <v>2015</v>
      </c>
      <c r="E47" s="590" t="str">
        <f t="shared" si="1"/>
        <v>2014 comp</v>
      </c>
      <c r="F47" s="590" t="str">
        <f t="shared" si="1"/>
        <v>2013 CXD</v>
      </c>
      <c r="G47" s="590" t="str">
        <f t="shared" si="1"/>
        <v>2012 CD</v>
      </c>
      <c r="H47" s="590" t="str">
        <f t="shared" si="1"/>
        <v>2011 CD</v>
      </c>
      <c r="I47" s="590">
        <f t="shared" si="1"/>
        <v>2010</v>
      </c>
      <c r="J47" s="590">
        <f t="shared" si="1"/>
        <v>2009</v>
      </c>
      <c r="K47" s="590">
        <f t="shared" si="1"/>
        <v>2008</v>
      </c>
      <c r="L47" s="590">
        <f t="shared" si="1"/>
        <v>2007</v>
      </c>
      <c r="M47" s="590">
        <f t="shared" si="1"/>
        <v>2006</v>
      </c>
      <c r="N47" s="590">
        <f t="shared" si="1"/>
        <v>2005</v>
      </c>
    </row>
    <row r="48" spans="1:16" x14ac:dyDescent="0.2">
      <c r="A48" s="621" t="s">
        <v>100</v>
      </c>
      <c r="B48" s="588" t="s">
        <v>560</v>
      </c>
      <c r="C48" s="588" t="s">
        <v>560</v>
      </c>
      <c r="D48" s="588" t="s">
        <v>560</v>
      </c>
      <c r="E48" s="588" t="s">
        <v>560</v>
      </c>
      <c r="F48" s="588" t="s">
        <v>560</v>
      </c>
      <c r="G48" s="588" t="s">
        <v>560</v>
      </c>
      <c r="H48" s="588" t="s">
        <v>560</v>
      </c>
      <c r="I48" s="588" t="s">
        <v>560</v>
      </c>
      <c r="J48" s="588" t="s">
        <v>560</v>
      </c>
      <c r="K48" s="588" t="s">
        <v>560</v>
      </c>
      <c r="L48" s="588" t="s">
        <v>560</v>
      </c>
      <c r="M48" s="588" t="s">
        <v>560</v>
      </c>
      <c r="N48" s="588" t="s">
        <v>560</v>
      </c>
    </row>
    <row r="49" spans="1:16" x14ac:dyDescent="0.2">
      <c r="A49" s="838" t="s">
        <v>995</v>
      </c>
      <c r="B49" s="588"/>
      <c r="C49" s="588"/>
      <c r="D49" s="588"/>
      <c r="E49" s="588"/>
      <c r="F49" s="588"/>
      <c r="G49" s="588"/>
      <c r="H49" s="588"/>
      <c r="I49" s="588"/>
      <c r="J49" s="588"/>
      <c r="K49" s="588"/>
      <c r="L49" s="588"/>
      <c r="M49" s="588"/>
      <c r="N49" s="588"/>
    </row>
    <row r="50" spans="1:16" x14ac:dyDescent="0.2">
      <c r="A50" s="838" t="s">
        <v>996</v>
      </c>
      <c r="B50" s="871" t="s">
        <v>867</v>
      </c>
      <c r="C50" s="588"/>
      <c r="D50" s="588"/>
      <c r="E50" s="588"/>
      <c r="F50" s="588"/>
      <c r="G50" s="588"/>
      <c r="H50" s="588"/>
      <c r="I50" s="588"/>
      <c r="J50" s="588"/>
      <c r="K50" s="588"/>
      <c r="L50" s="588"/>
      <c r="M50" s="588"/>
      <c r="N50" s="588"/>
    </row>
    <row r="51" spans="1:16" x14ac:dyDescent="0.2">
      <c r="A51" s="838" t="s">
        <v>997</v>
      </c>
      <c r="B51" s="871" t="s">
        <v>867</v>
      </c>
      <c r="C51" s="588"/>
      <c r="D51" s="588"/>
      <c r="E51" s="588"/>
      <c r="F51" s="588"/>
      <c r="G51" s="588"/>
      <c r="H51" s="588"/>
      <c r="I51" s="588"/>
      <c r="J51" s="588"/>
      <c r="K51" s="588"/>
      <c r="L51" s="588"/>
      <c r="M51" s="588"/>
      <c r="N51" s="588"/>
    </row>
    <row r="52" spans="1:16" x14ac:dyDescent="0.2">
      <c r="A52" s="838" t="s">
        <v>998</v>
      </c>
      <c r="B52" s="871" t="s">
        <v>867</v>
      </c>
      <c r="C52" s="588"/>
      <c r="D52" s="588"/>
      <c r="E52" s="588"/>
      <c r="F52" s="588"/>
      <c r="G52" s="588"/>
      <c r="H52" s="588"/>
      <c r="I52" s="588"/>
      <c r="J52" s="588"/>
      <c r="K52" s="588"/>
      <c r="L52" s="588"/>
      <c r="M52" s="588"/>
      <c r="N52" s="588"/>
    </row>
    <row r="53" spans="1:16" x14ac:dyDescent="0.2">
      <c r="A53" s="712" t="s">
        <v>101</v>
      </c>
      <c r="B53" s="847"/>
      <c r="C53" s="847"/>
      <c r="D53" s="848"/>
      <c r="E53" s="848"/>
      <c r="F53" s="847"/>
      <c r="G53" s="847"/>
      <c r="H53" s="843"/>
      <c r="I53" s="843"/>
      <c r="J53" s="843">
        <v>0</v>
      </c>
      <c r="K53" s="843">
        <v>0</v>
      </c>
      <c r="L53" s="843">
        <v>0</v>
      </c>
      <c r="M53" s="843">
        <v>0</v>
      </c>
      <c r="N53" s="843">
        <v>0</v>
      </c>
      <c r="O53" s="740"/>
      <c r="P53" s="740"/>
    </row>
    <row r="54" spans="1:16" x14ac:dyDescent="0.2">
      <c r="A54" s="795" t="str">
        <f>+UPPER("Deducción en el ejercicio")</f>
        <v>DEDUCCIÓN EN EL EJERCICIO</v>
      </c>
      <c r="B54" s="838"/>
      <c r="C54" s="838"/>
      <c r="D54" s="839"/>
      <c r="E54" s="839"/>
      <c r="F54" s="838"/>
      <c r="G54" s="838"/>
      <c r="H54" s="838" t="s">
        <v>887</v>
      </c>
      <c r="I54" s="838"/>
      <c r="J54" s="838"/>
      <c r="K54" s="838"/>
      <c r="L54" s="838"/>
      <c r="M54" s="838"/>
      <c r="N54" s="838"/>
      <c r="O54" s="740"/>
      <c r="P54" s="740"/>
    </row>
    <row r="55" spans="1:16" x14ac:dyDescent="0.2">
      <c r="A55" s="795" t="str">
        <f>+UPPER("Deducción inmediata en el ejercicio")</f>
        <v>DEDUCCIÓN INMEDIATA EN EL EJERCICIO</v>
      </c>
      <c r="B55" s="838"/>
      <c r="C55" s="838"/>
      <c r="D55" s="839"/>
      <c r="E55" s="839"/>
      <c r="F55" s="838"/>
      <c r="G55" s="838"/>
      <c r="H55" s="838"/>
      <c r="I55" s="838"/>
      <c r="J55" s="838"/>
      <c r="K55" s="838"/>
      <c r="L55" s="838"/>
      <c r="M55" s="838"/>
      <c r="N55" s="838"/>
      <c r="O55" s="740"/>
      <c r="P55" s="740"/>
    </row>
    <row r="56" spans="1:16" x14ac:dyDescent="0.2">
      <c r="A56" s="795" t="s">
        <v>567</v>
      </c>
      <c r="B56" s="838"/>
      <c r="C56" s="838"/>
      <c r="D56" s="839"/>
      <c r="E56" s="839"/>
      <c r="F56" s="838"/>
      <c r="G56" s="838"/>
      <c r="H56" s="838" t="s">
        <v>887</v>
      </c>
      <c r="I56" s="838"/>
      <c r="J56" s="838"/>
      <c r="K56" s="838"/>
      <c r="L56" s="838"/>
      <c r="M56" s="838"/>
      <c r="N56" s="838"/>
      <c r="O56" s="740"/>
      <c r="P56" s="740"/>
    </row>
    <row r="57" spans="1:16" x14ac:dyDescent="0.2">
      <c r="A57" s="712" t="s">
        <v>999</v>
      </c>
      <c r="B57" s="847"/>
      <c r="C57" s="847"/>
      <c r="D57" s="848"/>
      <c r="E57" s="848"/>
      <c r="F57" s="847"/>
      <c r="G57" s="847"/>
      <c r="H57" s="847"/>
      <c r="I57" s="838"/>
      <c r="J57" s="838"/>
      <c r="K57" s="838"/>
      <c r="L57" s="838"/>
      <c r="M57" s="838"/>
      <c r="N57" s="838"/>
      <c r="O57" s="740"/>
      <c r="P57" s="740"/>
    </row>
    <row r="58" spans="1:16" x14ac:dyDescent="0.2">
      <c r="A58" s="795" t="str">
        <f>+UPPER("Deducción en el ejercicio")</f>
        <v>DEDUCCIÓN EN EL EJERCICIO</v>
      </c>
      <c r="B58" s="838"/>
      <c r="C58" s="838"/>
      <c r="D58" s="839"/>
      <c r="E58" s="839"/>
      <c r="F58" s="838"/>
      <c r="G58" s="838"/>
      <c r="H58" s="838"/>
      <c r="I58" s="838"/>
      <c r="J58" s="838"/>
      <c r="K58" s="838"/>
      <c r="L58" s="838"/>
      <c r="M58" s="838"/>
      <c r="N58" s="838"/>
      <c r="O58" s="740"/>
      <c r="P58" s="740"/>
    </row>
    <row r="59" spans="1:16" x14ac:dyDescent="0.2">
      <c r="A59" s="795" t="str">
        <f>+UPPER("Deducción inmediata en el ejercicio")</f>
        <v>DEDUCCIÓN INMEDIATA EN EL EJERCICIO</v>
      </c>
      <c r="B59" s="838"/>
      <c r="C59" s="838"/>
      <c r="D59" s="839"/>
      <c r="E59" s="839"/>
      <c r="F59" s="838"/>
      <c r="G59" s="838"/>
      <c r="H59" s="838"/>
      <c r="I59" s="838"/>
      <c r="J59" s="838"/>
      <c r="K59" s="838"/>
      <c r="L59" s="838"/>
      <c r="M59" s="838"/>
      <c r="N59" s="838"/>
      <c r="O59" s="740"/>
      <c r="P59" s="740"/>
    </row>
    <row r="60" spans="1:16" x14ac:dyDescent="0.2">
      <c r="A60" s="795" t="s">
        <v>567</v>
      </c>
      <c r="B60" s="838"/>
      <c r="C60" s="838"/>
      <c r="D60" s="839"/>
      <c r="E60" s="839"/>
      <c r="F60" s="838"/>
      <c r="G60" s="838"/>
      <c r="H60" s="838"/>
      <c r="I60" s="838"/>
      <c r="J60" s="838"/>
      <c r="K60" s="838"/>
      <c r="L60" s="838"/>
      <c r="M60" s="838"/>
      <c r="N60" s="838"/>
      <c r="O60" s="740"/>
      <c r="P60" s="740"/>
    </row>
    <row r="61" spans="1:16" x14ac:dyDescent="0.2">
      <c r="A61" s="712" t="str">
        <f>+UPPER("Maquinaria y equipo")</f>
        <v>MAQUINARIA Y EQUIPO</v>
      </c>
      <c r="B61" s="847"/>
      <c r="C61" s="847"/>
      <c r="D61" s="848"/>
      <c r="E61" s="848"/>
      <c r="F61" s="847"/>
      <c r="G61" s="847"/>
      <c r="H61" s="843"/>
      <c r="I61" s="843"/>
      <c r="J61" s="843">
        <v>0</v>
      </c>
      <c r="K61" s="843">
        <v>0</v>
      </c>
      <c r="L61" s="843">
        <v>0</v>
      </c>
      <c r="M61" s="843">
        <v>0</v>
      </c>
      <c r="N61" s="843">
        <v>0</v>
      </c>
      <c r="O61" s="740"/>
      <c r="P61" s="740"/>
    </row>
    <row r="62" spans="1:16" x14ac:dyDescent="0.2">
      <c r="A62" s="795" t="str">
        <f>+UPPER("Deducción en el ejercicio")</f>
        <v>DEDUCCIÓN EN EL EJERCICIO</v>
      </c>
      <c r="B62" s="838"/>
      <c r="C62" s="838"/>
      <c r="D62" s="839"/>
      <c r="E62" s="839"/>
      <c r="F62" s="838"/>
      <c r="G62" s="838"/>
      <c r="H62" s="838"/>
      <c r="I62" s="838"/>
      <c r="J62" s="838"/>
      <c r="K62" s="838"/>
      <c r="L62" s="838"/>
      <c r="M62" s="838"/>
      <c r="N62" s="838"/>
      <c r="O62" s="740"/>
      <c r="P62" s="740"/>
    </row>
    <row r="63" spans="1:16" x14ac:dyDescent="0.2">
      <c r="A63" s="795" t="str">
        <f>+UPPER("Deducción inmediata en el ejercicio")</f>
        <v>DEDUCCIÓN INMEDIATA EN EL EJERCICIO</v>
      </c>
      <c r="B63" s="838"/>
      <c r="C63" s="838"/>
      <c r="D63" s="839"/>
      <c r="E63" s="839"/>
      <c r="F63" s="838"/>
      <c r="G63" s="838"/>
      <c r="H63" s="838"/>
      <c r="I63" s="838"/>
      <c r="J63" s="838"/>
      <c r="K63" s="838"/>
      <c r="L63" s="838"/>
      <c r="M63" s="838"/>
      <c r="N63" s="838"/>
      <c r="O63" s="740"/>
      <c r="P63" s="740"/>
    </row>
    <row r="64" spans="1:16" x14ac:dyDescent="0.2">
      <c r="A64" s="795" t="s">
        <v>567</v>
      </c>
      <c r="B64" s="838"/>
      <c r="C64" s="838"/>
      <c r="D64" s="839"/>
      <c r="E64" s="839"/>
      <c r="F64" s="838"/>
      <c r="G64" s="838"/>
      <c r="H64" s="838"/>
      <c r="I64" s="838"/>
      <c r="J64" s="838"/>
      <c r="K64" s="838"/>
      <c r="L64" s="838"/>
      <c r="M64" s="838"/>
      <c r="N64" s="838"/>
      <c r="O64" s="740"/>
      <c r="P64" s="740"/>
    </row>
    <row r="65" spans="1:16" x14ac:dyDescent="0.2">
      <c r="A65" s="712" t="s">
        <v>103</v>
      </c>
      <c r="B65" s="847"/>
      <c r="C65" s="847"/>
      <c r="D65" s="849"/>
      <c r="E65" s="849"/>
      <c r="F65" s="843"/>
      <c r="G65" s="843"/>
      <c r="H65" s="843"/>
      <c r="I65" s="843"/>
      <c r="J65" s="843">
        <v>0</v>
      </c>
      <c r="K65" s="843">
        <v>0</v>
      </c>
      <c r="L65" s="843">
        <v>0</v>
      </c>
      <c r="M65" s="843">
        <v>0</v>
      </c>
      <c r="N65" s="843">
        <v>0</v>
      </c>
      <c r="O65" s="740"/>
      <c r="P65" s="740"/>
    </row>
    <row r="66" spans="1:16" x14ac:dyDescent="0.2">
      <c r="A66" s="795" t="str">
        <f>+UPPER("Deducción en el ejercicio")</f>
        <v>DEDUCCIÓN EN EL EJERCICIO</v>
      </c>
      <c r="B66" s="839">
        <v>497.21090040000001</v>
      </c>
      <c r="C66" s="839">
        <v>497.21090040000001</v>
      </c>
      <c r="D66" s="839">
        <v>497.21090040000001</v>
      </c>
      <c r="E66" s="839">
        <v>529.47755010000003</v>
      </c>
      <c r="F66" s="850">
        <v>510.32383109999995</v>
      </c>
      <c r="G66" s="850">
        <v>370</v>
      </c>
      <c r="H66" s="838"/>
      <c r="I66" s="838"/>
      <c r="J66" s="838"/>
      <c r="K66" s="838"/>
      <c r="L66" s="838"/>
      <c r="M66" s="838"/>
      <c r="N66" s="838"/>
      <c r="O66" s="740"/>
      <c r="P66" s="740"/>
    </row>
    <row r="67" spans="1:16" x14ac:dyDescent="0.2">
      <c r="A67" s="795" t="str">
        <f>+UPPER("Deducción inmediata en el ejercicio")</f>
        <v>DEDUCCIÓN INMEDIATA EN EL EJERCICIO</v>
      </c>
      <c r="B67" s="839"/>
      <c r="C67" s="839"/>
      <c r="D67" s="839"/>
      <c r="E67" s="839"/>
      <c r="F67" s="838"/>
      <c r="G67" s="838"/>
      <c r="H67" s="837"/>
      <c r="I67" s="837"/>
      <c r="J67" s="837"/>
      <c r="K67" s="837"/>
      <c r="L67" s="837"/>
      <c r="M67" s="838"/>
      <c r="N67" s="838"/>
      <c r="O67" s="740"/>
      <c r="P67" s="740"/>
    </row>
    <row r="68" spans="1:16" x14ac:dyDescent="0.2">
      <c r="A68" s="795" t="s">
        <v>567</v>
      </c>
      <c r="B68" s="839"/>
      <c r="C68" s="839"/>
      <c r="D68" s="839"/>
      <c r="E68" s="839"/>
      <c r="F68" s="838"/>
      <c r="G68" s="838">
        <v>4911</v>
      </c>
      <c r="H68" s="838" t="s">
        <v>887</v>
      </c>
      <c r="I68" s="838"/>
      <c r="J68" s="838"/>
      <c r="K68" s="838"/>
      <c r="L68" s="838"/>
      <c r="M68" s="838"/>
      <c r="N68" s="838"/>
      <c r="O68" s="740"/>
      <c r="P68" s="740"/>
    </row>
    <row r="69" spans="1:16" x14ac:dyDescent="0.2">
      <c r="A69" s="712" t="s">
        <v>568</v>
      </c>
      <c r="B69" s="848"/>
      <c r="C69" s="848"/>
      <c r="D69" s="848"/>
      <c r="E69" s="848"/>
      <c r="F69" s="847"/>
      <c r="G69" s="847"/>
      <c r="H69" s="843"/>
      <c r="I69" s="843"/>
      <c r="J69" s="843">
        <v>0</v>
      </c>
      <c r="K69" s="843">
        <v>0</v>
      </c>
      <c r="L69" s="843">
        <v>0</v>
      </c>
      <c r="M69" s="843">
        <v>0</v>
      </c>
      <c r="N69" s="843">
        <v>0</v>
      </c>
      <c r="O69" s="740"/>
      <c r="P69" s="740"/>
    </row>
    <row r="70" spans="1:16" x14ac:dyDescent="0.2">
      <c r="A70" s="795" t="str">
        <f>+UPPER("Deducción en el ejercicio")</f>
        <v>DEDUCCIÓN EN EL EJERCICIO</v>
      </c>
      <c r="B70" s="839">
        <v>4439</v>
      </c>
      <c r="C70" s="839">
        <v>4439</v>
      </c>
      <c r="D70" s="839">
        <v>4439</v>
      </c>
      <c r="E70" s="839">
        <v>6297.2095896000001</v>
      </c>
      <c r="F70" s="850">
        <v>3436.5454216000007</v>
      </c>
      <c r="G70" s="850">
        <v>2576</v>
      </c>
      <c r="H70" s="838"/>
      <c r="I70" s="838"/>
      <c r="J70" s="838"/>
      <c r="K70" s="838"/>
      <c r="L70" s="838"/>
      <c r="M70" s="838"/>
      <c r="N70" s="838"/>
      <c r="O70" s="740"/>
      <c r="P70" s="740"/>
    </row>
    <row r="71" spans="1:16" x14ac:dyDescent="0.2">
      <c r="A71" s="795" t="str">
        <f>+UPPER("Deducción inmediata en el ejercicio")</f>
        <v>DEDUCCIÓN INMEDIATA EN EL EJERCICIO</v>
      </c>
      <c r="B71" s="839"/>
      <c r="C71" s="839"/>
      <c r="D71" s="839"/>
      <c r="E71" s="839"/>
      <c r="F71" s="838"/>
      <c r="G71" s="838"/>
      <c r="H71" s="838"/>
      <c r="I71" s="838"/>
      <c r="J71" s="838"/>
      <c r="K71" s="838"/>
      <c r="L71" s="838"/>
      <c r="M71" s="838"/>
      <c r="N71" s="838"/>
      <c r="O71" s="740"/>
      <c r="P71" s="740"/>
    </row>
    <row r="72" spans="1:16" x14ac:dyDescent="0.2">
      <c r="A72" s="795" t="s">
        <v>567</v>
      </c>
      <c r="B72" s="839"/>
      <c r="C72" s="839"/>
      <c r="D72" s="839"/>
      <c r="E72" s="839"/>
      <c r="F72" s="726">
        <v>9481.9</v>
      </c>
      <c r="G72" s="726">
        <v>10257.76</v>
      </c>
      <c r="H72" s="838"/>
      <c r="I72" s="838"/>
      <c r="J72" s="838"/>
      <c r="K72" s="838"/>
      <c r="L72" s="838"/>
      <c r="M72" s="838"/>
      <c r="N72" s="838"/>
      <c r="O72" s="740"/>
      <c r="P72" s="740"/>
    </row>
    <row r="73" spans="1:16" x14ac:dyDescent="0.2">
      <c r="A73" s="712" t="str">
        <f>+UPPER("Equipo de transporte automoviles")</f>
        <v>EQUIPO DE TRANSPORTE AUTOMOVILES</v>
      </c>
      <c r="B73" s="849"/>
      <c r="C73" s="849"/>
      <c r="D73" s="849"/>
      <c r="E73" s="849"/>
      <c r="F73" s="843"/>
      <c r="G73" s="843"/>
      <c r="H73" s="843"/>
      <c r="I73" s="843"/>
      <c r="J73" s="843">
        <v>0</v>
      </c>
      <c r="K73" s="843">
        <v>0</v>
      </c>
      <c r="L73" s="843">
        <v>0</v>
      </c>
      <c r="M73" s="843">
        <v>0</v>
      </c>
      <c r="N73" s="843">
        <v>0</v>
      </c>
      <c r="O73" s="740"/>
      <c r="P73" s="740"/>
    </row>
    <row r="74" spans="1:16" x14ac:dyDescent="0.2">
      <c r="A74" s="795" t="str">
        <f>+UPPER("Deducción en el ejercicio")</f>
        <v>DEDUCCIÓN EN EL EJERCICIO</v>
      </c>
      <c r="B74" s="839">
        <v>44489.374999999993</v>
      </c>
      <c r="C74" s="839">
        <v>44489.374999999993</v>
      </c>
      <c r="D74" s="839">
        <v>44489.374999999993</v>
      </c>
      <c r="E74" s="839">
        <v>115031.5752029375</v>
      </c>
      <c r="F74" s="838">
        <v>173908.49922283334</v>
      </c>
      <c r="G74" s="838">
        <v>163949</v>
      </c>
      <c r="H74" s="838"/>
      <c r="I74" s="838"/>
      <c r="J74" s="838"/>
      <c r="K74" s="838"/>
      <c r="L74" s="838"/>
      <c r="M74" s="838"/>
      <c r="N74" s="838"/>
      <c r="O74" s="740"/>
      <c r="P74" s="740"/>
    </row>
    <row r="75" spans="1:16" x14ac:dyDescent="0.2">
      <c r="A75" s="795" t="str">
        <f>+UPPER("Deducción inmediata en el ejercicio")</f>
        <v>DEDUCCIÓN INMEDIATA EN EL EJERCICIO</v>
      </c>
      <c r="B75" s="838"/>
      <c r="C75" s="838"/>
      <c r="D75" s="839"/>
      <c r="E75" s="839"/>
      <c r="F75" s="838"/>
      <c r="G75" s="838"/>
      <c r="H75" s="837"/>
      <c r="I75" s="837"/>
      <c r="J75" s="837"/>
      <c r="K75" s="837"/>
      <c r="L75" s="837"/>
      <c r="M75" s="837"/>
      <c r="N75" s="837"/>
      <c r="O75" s="740"/>
      <c r="P75" s="740"/>
    </row>
    <row r="76" spans="1:16" x14ac:dyDescent="0.2">
      <c r="A76" s="795" t="s">
        <v>567</v>
      </c>
      <c r="B76" s="838"/>
      <c r="C76" s="838"/>
      <c r="D76" s="839"/>
      <c r="E76" s="839"/>
      <c r="F76" s="838"/>
      <c r="G76" s="838"/>
      <c r="H76" s="838"/>
      <c r="I76" s="838"/>
      <c r="J76" s="838"/>
      <c r="K76" s="838"/>
      <c r="L76" s="838"/>
      <c r="M76" s="838"/>
      <c r="N76" s="838"/>
      <c r="O76" s="740"/>
      <c r="P76" s="740"/>
    </row>
    <row r="77" spans="1:16" ht="33.75" x14ac:dyDescent="0.2">
      <c r="A77" s="712" t="s">
        <v>1000</v>
      </c>
      <c r="B77" s="838"/>
      <c r="C77" s="838"/>
      <c r="D77" s="839"/>
      <c r="E77" s="839"/>
      <c r="F77" s="838"/>
      <c r="G77" s="838"/>
      <c r="H77" s="838"/>
      <c r="I77" s="838"/>
      <c r="J77" s="838"/>
      <c r="K77" s="838"/>
      <c r="L77" s="838"/>
      <c r="M77" s="838"/>
      <c r="N77" s="838"/>
      <c r="O77" s="740"/>
      <c r="P77" s="740"/>
    </row>
    <row r="78" spans="1:16" x14ac:dyDescent="0.2">
      <c r="A78" s="795" t="str">
        <f>+UPPER("Deducción en el ejercicio")</f>
        <v>DEDUCCIÓN EN EL EJERCICIO</v>
      </c>
      <c r="B78" s="838"/>
      <c r="C78" s="838"/>
      <c r="D78" s="839"/>
      <c r="E78" s="839"/>
      <c r="F78" s="838"/>
      <c r="G78" s="838"/>
      <c r="H78" s="838"/>
      <c r="I78" s="838"/>
      <c r="J78" s="838"/>
      <c r="K78" s="838"/>
      <c r="L78" s="838"/>
      <c r="M78" s="838"/>
      <c r="N78" s="838"/>
      <c r="O78" s="740"/>
      <c r="P78" s="740"/>
    </row>
    <row r="79" spans="1:16" x14ac:dyDescent="0.2">
      <c r="A79" s="795" t="str">
        <f>+UPPER("Deducción inmediata en el ejercicio")</f>
        <v>DEDUCCIÓN INMEDIATA EN EL EJERCICIO</v>
      </c>
      <c r="B79" s="838"/>
      <c r="C79" s="838"/>
      <c r="D79" s="839"/>
      <c r="E79" s="839"/>
      <c r="F79" s="838"/>
      <c r="G79" s="838"/>
      <c r="H79" s="838"/>
      <c r="I79" s="838"/>
      <c r="J79" s="838"/>
      <c r="K79" s="838"/>
      <c r="L79" s="838"/>
      <c r="M79" s="838"/>
      <c r="N79" s="838"/>
      <c r="O79" s="740"/>
      <c r="P79" s="740"/>
    </row>
    <row r="80" spans="1:16" x14ac:dyDescent="0.2">
      <c r="A80" s="795" t="s">
        <v>567</v>
      </c>
      <c r="B80" s="838"/>
      <c r="C80" s="838"/>
      <c r="D80" s="839"/>
      <c r="E80" s="839"/>
      <c r="F80" s="838"/>
      <c r="G80" s="838"/>
      <c r="H80" s="838"/>
      <c r="I80" s="838"/>
      <c r="J80" s="838"/>
      <c r="K80" s="838"/>
      <c r="L80" s="838"/>
      <c r="M80" s="838"/>
      <c r="N80" s="838"/>
      <c r="O80" s="740"/>
      <c r="P80" s="740"/>
    </row>
    <row r="81" spans="1:16" ht="22.5" x14ac:dyDescent="0.2">
      <c r="A81" s="712" t="s">
        <v>1001</v>
      </c>
      <c r="B81" s="838"/>
      <c r="C81" s="838"/>
      <c r="D81" s="839"/>
      <c r="E81" s="839"/>
      <c r="F81" s="838"/>
      <c r="G81" s="838"/>
      <c r="H81" s="838"/>
      <c r="I81" s="838"/>
      <c r="J81" s="838"/>
      <c r="K81" s="838"/>
      <c r="L81" s="838"/>
      <c r="M81" s="838"/>
      <c r="N81" s="838"/>
      <c r="O81" s="740"/>
      <c r="P81" s="740"/>
    </row>
    <row r="82" spans="1:16" x14ac:dyDescent="0.2">
      <c r="A82" s="795" t="str">
        <f>+UPPER("Deducción en el ejercicio")</f>
        <v>DEDUCCIÓN EN EL EJERCICIO</v>
      </c>
      <c r="B82" s="838"/>
      <c r="C82" s="838"/>
      <c r="D82" s="839"/>
      <c r="E82" s="839"/>
      <c r="F82" s="838"/>
      <c r="G82" s="838"/>
      <c r="H82" s="838"/>
      <c r="I82" s="838"/>
      <c r="J82" s="838"/>
      <c r="K82" s="838"/>
      <c r="L82" s="838"/>
      <c r="M82" s="838"/>
      <c r="N82" s="838"/>
      <c r="O82" s="740"/>
      <c r="P82" s="740"/>
    </row>
    <row r="83" spans="1:16" x14ac:dyDescent="0.2">
      <c r="A83" s="795" t="str">
        <f>+UPPER("Deducción inmediata en el ejercicio")</f>
        <v>DEDUCCIÓN INMEDIATA EN EL EJERCICIO</v>
      </c>
      <c r="B83" s="838"/>
      <c r="C83" s="838"/>
      <c r="D83" s="839"/>
      <c r="E83" s="839"/>
      <c r="F83" s="838"/>
      <c r="G83" s="838"/>
      <c r="H83" s="838"/>
      <c r="I83" s="838"/>
      <c r="J83" s="838"/>
      <c r="K83" s="838"/>
      <c r="L83" s="838"/>
      <c r="M83" s="838"/>
      <c r="N83" s="838"/>
      <c r="O83" s="740"/>
      <c r="P83" s="740"/>
    </row>
    <row r="84" spans="1:16" x14ac:dyDescent="0.2">
      <c r="A84" s="795" t="s">
        <v>567</v>
      </c>
      <c r="B84" s="838"/>
      <c r="C84" s="838"/>
      <c r="D84" s="839"/>
      <c r="E84" s="839"/>
      <c r="F84" s="838"/>
      <c r="G84" s="838"/>
      <c r="H84" s="838"/>
      <c r="I84" s="838"/>
      <c r="J84" s="838"/>
      <c r="K84" s="838"/>
      <c r="L84" s="838"/>
      <c r="M84" s="838"/>
      <c r="N84" s="838"/>
      <c r="O84" s="740"/>
      <c r="P84" s="740"/>
    </row>
    <row r="85" spans="1:16" x14ac:dyDescent="0.2">
      <c r="A85" s="712" t="str">
        <f>+UPPER("Equipo de transporte otros")</f>
        <v>EQUIPO DE TRANSPORTE OTROS</v>
      </c>
      <c r="B85" s="847"/>
      <c r="C85" s="847"/>
      <c r="D85" s="848"/>
      <c r="E85" s="848"/>
      <c r="F85" s="847"/>
      <c r="G85" s="847"/>
      <c r="H85" s="843"/>
      <c r="I85" s="843"/>
      <c r="J85" s="843">
        <v>0</v>
      </c>
      <c r="K85" s="843">
        <v>0</v>
      </c>
      <c r="L85" s="843">
        <v>0</v>
      </c>
      <c r="M85" s="843">
        <v>0</v>
      </c>
      <c r="N85" s="843">
        <v>0</v>
      </c>
      <c r="O85" s="740"/>
      <c r="P85" s="740"/>
    </row>
    <row r="86" spans="1:16" x14ac:dyDescent="0.2">
      <c r="A86" s="795" t="str">
        <f>+UPPER("Deducción en el ejercicio")</f>
        <v>DEDUCCIÓN EN EL EJERCICIO</v>
      </c>
      <c r="B86" s="838"/>
      <c r="C86" s="838"/>
      <c r="D86" s="839"/>
      <c r="E86" s="839"/>
      <c r="F86" s="838"/>
      <c r="G86" s="838"/>
      <c r="H86" s="726" t="s">
        <v>887</v>
      </c>
      <c r="I86" s="726"/>
      <c r="J86" s="726"/>
      <c r="K86" s="726"/>
      <c r="L86" s="726"/>
      <c r="M86" s="726"/>
      <c r="N86" s="726"/>
      <c r="O86" s="740"/>
      <c r="P86" s="740"/>
    </row>
    <row r="87" spans="1:16" x14ac:dyDescent="0.2">
      <c r="A87" s="795" t="str">
        <f>+UPPER("Deducción inmediata en el ejercicio")</f>
        <v>DEDUCCIÓN INMEDIATA EN EL EJERCICIO</v>
      </c>
      <c r="B87" s="838"/>
      <c r="C87" s="838"/>
      <c r="D87" s="839"/>
      <c r="E87" s="839"/>
      <c r="F87" s="838"/>
      <c r="G87" s="838"/>
      <c r="H87" s="726"/>
      <c r="I87" s="726"/>
      <c r="J87" s="726"/>
      <c r="K87" s="726"/>
      <c r="L87" s="726"/>
      <c r="M87" s="726"/>
      <c r="N87" s="726"/>
      <c r="O87" s="740"/>
      <c r="P87" s="740"/>
    </row>
    <row r="88" spans="1:16" x14ac:dyDescent="0.2">
      <c r="A88" s="795" t="s">
        <v>567</v>
      </c>
      <c r="B88" s="838"/>
      <c r="C88" s="838"/>
      <c r="D88" s="839"/>
      <c r="E88" s="839"/>
      <c r="F88" s="838"/>
      <c r="G88" s="838"/>
      <c r="H88" s="726"/>
      <c r="I88" s="726"/>
      <c r="J88" s="726"/>
      <c r="K88" s="726"/>
      <c r="L88" s="726"/>
      <c r="M88" s="726"/>
      <c r="N88" s="726"/>
      <c r="O88" s="740"/>
      <c r="P88" s="740"/>
    </row>
    <row r="89" spans="1:16" ht="22.5" x14ac:dyDescent="0.2">
      <c r="A89" s="712" t="s">
        <v>1002</v>
      </c>
      <c r="B89" s="712"/>
      <c r="C89" s="847"/>
      <c r="D89" s="848"/>
      <c r="E89" s="848"/>
      <c r="F89" s="847"/>
      <c r="G89" s="847"/>
      <c r="H89" s="843"/>
      <c r="I89" s="843"/>
      <c r="J89" s="843">
        <v>0</v>
      </c>
      <c r="K89" s="843">
        <v>0</v>
      </c>
      <c r="L89" s="843">
        <v>0</v>
      </c>
      <c r="M89" s="843">
        <v>0</v>
      </c>
      <c r="N89" s="843">
        <v>0</v>
      </c>
      <c r="O89" s="740"/>
      <c r="P89" s="740"/>
    </row>
    <row r="90" spans="1:16" x14ac:dyDescent="0.2">
      <c r="A90" s="795" t="str">
        <f>+UPPER("Deducción en el ejercicio")</f>
        <v>DEDUCCIÓN EN EL EJERCICIO</v>
      </c>
      <c r="B90" s="838"/>
      <c r="C90" s="838"/>
      <c r="D90" s="839"/>
      <c r="E90" s="839"/>
      <c r="F90" s="838"/>
      <c r="G90" s="838"/>
      <c r="H90" s="838"/>
      <c r="I90" s="838"/>
      <c r="J90" s="838"/>
      <c r="K90" s="838"/>
      <c r="L90" s="838"/>
      <c r="M90" s="838"/>
      <c r="N90" s="838"/>
      <c r="O90" s="740"/>
      <c r="P90" s="740"/>
    </row>
    <row r="91" spans="1:16" x14ac:dyDescent="0.2">
      <c r="A91" s="795" t="str">
        <f>+UPPER("Deducción inmediata en el ejercicio")</f>
        <v>DEDUCCIÓN INMEDIATA EN EL EJERCICIO</v>
      </c>
      <c r="B91" s="838"/>
      <c r="C91" s="838"/>
      <c r="D91" s="839"/>
      <c r="E91" s="839"/>
      <c r="F91" s="838"/>
      <c r="G91" s="838"/>
      <c r="H91" s="838"/>
      <c r="I91" s="838"/>
      <c r="J91" s="838"/>
      <c r="K91" s="838"/>
      <c r="L91" s="838"/>
      <c r="M91" s="838"/>
      <c r="N91" s="838"/>
      <c r="O91" s="740"/>
      <c r="P91" s="740"/>
    </row>
    <row r="92" spans="1:16" x14ac:dyDescent="0.2">
      <c r="A92" s="795" t="s">
        <v>567</v>
      </c>
      <c r="B92" s="838"/>
      <c r="C92" s="838"/>
      <c r="D92" s="839"/>
      <c r="E92" s="839"/>
      <c r="F92" s="838"/>
      <c r="G92" s="838"/>
      <c r="H92" s="726"/>
      <c r="I92" s="726"/>
      <c r="J92" s="726"/>
      <c r="K92" s="726"/>
      <c r="L92" s="726"/>
      <c r="M92" s="726"/>
      <c r="N92" s="726"/>
      <c r="O92" s="740"/>
      <c r="P92" s="740"/>
    </row>
    <row r="93" spans="1:16" x14ac:dyDescent="0.2">
      <c r="A93" s="712" t="str">
        <f>+UPPER("Otras inversiones en activos fijos")</f>
        <v>OTRAS INVERSIONES EN ACTIVOS FIJOS</v>
      </c>
      <c r="B93" s="838"/>
      <c r="C93" s="838"/>
      <c r="D93" s="839"/>
      <c r="E93" s="839"/>
      <c r="F93" s="838"/>
      <c r="G93" s="838"/>
      <c r="H93" s="726"/>
      <c r="I93" s="726"/>
      <c r="J93" s="726"/>
      <c r="K93" s="726"/>
      <c r="L93" s="726"/>
      <c r="M93" s="726"/>
      <c r="N93" s="726"/>
      <c r="O93" s="740"/>
      <c r="P93" s="740"/>
    </row>
    <row r="94" spans="1:16" x14ac:dyDescent="0.2">
      <c r="A94" s="795" t="str">
        <f>+UPPER("Deducción en el ejercicio")</f>
        <v>DEDUCCIÓN EN EL EJERCICIO</v>
      </c>
      <c r="B94" s="838"/>
      <c r="C94" s="838"/>
      <c r="D94" s="839"/>
      <c r="E94" s="839"/>
      <c r="F94" s="838"/>
      <c r="G94" s="838"/>
      <c r="H94" s="726"/>
      <c r="I94" s="726"/>
      <c r="J94" s="726"/>
      <c r="K94" s="726"/>
      <c r="L94" s="726"/>
      <c r="M94" s="726"/>
      <c r="N94" s="726"/>
      <c r="O94" s="740"/>
      <c r="P94" s="740"/>
    </row>
    <row r="95" spans="1:16" x14ac:dyDescent="0.2">
      <c r="A95" s="795" t="str">
        <f>+UPPER("Deducción inmediata en el ejercicio")</f>
        <v>DEDUCCIÓN INMEDIATA EN EL EJERCICIO</v>
      </c>
      <c r="B95" s="838"/>
      <c r="C95" s="838"/>
      <c r="D95" s="839"/>
      <c r="E95" s="839"/>
      <c r="F95" s="838"/>
      <c r="G95" s="838"/>
      <c r="H95" s="726"/>
      <c r="I95" s="726"/>
      <c r="J95" s="726"/>
      <c r="K95" s="726"/>
      <c r="L95" s="726"/>
      <c r="M95" s="726"/>
      <c r="N95" s="726"/>
      <c r="O95" s="740"/>
      <c r="P95" s="740"/>
    </row>
    <row r="96" spans="1:16" x14ac:dyDescent="0.2">
      <c r="A96" s="795" t="s">
        <v>567</v>
      </c>
      <c r="B96" s="838"/>
      <c r="C96" s="838"/>
      <c r="D96" s="839"/>
      <c r="E96" s="839"/>
      <c r="F96" s="838"/>
      <c r="G96" s="838"/>
      <c r="H96" s="726"/>
      <c r="I96" s="726"/>
      <c r="J96" s="726"/>
      <c r="K96" s="726"/>
      <c r="L96" s="726"/>
      <c r="M96" s="726"/>
      <c r="N96" s="726"/>
      <c r="O96" s="740"/>
      <c r="P96" s="740"/>
    </row>
    <row r="97" spans="1:16" ht="22.5" x14ac:dyDescent="0.2">
      <c r="A97" s="712" t="str">
        <f>+UPPER("Gastos, cargos diferidos y erogaciones en periodos preoperativos")</f>
        <v>GASTOS, CARGOS DIFERIDOS Y EROGACIONES EN PERIODOS PREOPERATIVOS</v>
      </c>
      <c r="B97" s="847"/>
      <c r="C97" s="847"/>
      <c r="D97" s="848"/>
      <c r="E97" s="848"/>
      <c r="F97" s="847"/>
      <c r="G97" s="847"/>
      <c r="H97" s="843"/>
      <c r="I97" s="843"/>
      <c r="J97" s="843">
        <v>0</v>
      </c>
      <c r="K97" s="843">
        <v>0</v>
      </c>
      <c r="L97" s="843">
        <v>0</v>
      </c>
      <c r="M97" s="843">
        <v>0</v>
      </c>
      <c r="N97" s="843">
        <v>0</v>
      </c>
      <c r="O97" s="740"/>
      <c r="P97" s="740"/>
    </row>
    <row r="98" spans="1:16" x14ac:dyDescent="0.2">
      <c r="A98" s="795" t="str">
        <f>+UPPER("Deducción en el ejercicio")</f>
        <v>DEDUCCIÓN EN EL EJERCICIO</v>
      </c>
      <c r="B98" s="838"/>
      <c r="C98" s="838"/>
      <c r="D98" s="839"/>
      <c r="E98" s="839"/>
      <c r="F98" s="838"/>
      <c r="G98" s="838"/>
      <c r="H98" s="838"/>
      <c r="I98" s="838"/>
      <c r="J98" s="838"/>
      <c r="K98" s="838"/>
      <c r="L98" s="838"/>
      <c r="M98" s="838"/>
      <c r="N98" s="838"/>
      <c r="O98" s="740"/>
      <c r="P98" s="740"/>
    </row>
    <row r="99" spans="1:16" x14ac:dyDescent="0.2">
      <c r="A99" s="795" t="str">
        <f>+UPPER("Deducción inmediata en el ejercicio")</f>
        <v>DEDUCCIÓN INMEDIATA EN EL EJERCICIO</v>
      </c>
      <c r="B99" s="838"/>
      <c r="C99" s="838"/>
      <c r="D99" s="839"/>
      <c r="E99" s="839"/>
      <c r="F99" s="838"/>
      <c r="G99" s="838"/>
      <c r="H99" s="837"/>
      <c r="I99" s="837"/>
      <c r="J99" s="837"/>
      <c r="K99" s="837"/>
      <c r="L99" s="837"/>
      <c r="M99" s="837"/>
      <c r="N99" s="837"/>
      <c r="O99" s="740"/>
      <c r="P99" s="740"/>
    </row>
    <row r="100" spans="1:16" x14ac:dyDescent="0.2">
      <c r="A100" s="795" t="s">
        <v>567</v>
      </c>
      <c r="B100" s="838"/>
      <c r="C100" s="838"/>
      <c r="D100" s="839"/>
      <c r="E100" s="839"/>
      <c r="F100" s="838"/>
      <c r="G100" s="838"/>
      <c r="H100" s="838"/>
      <c r="I100" s="838"/>
      <c r="J100" s="838"/>
      <c r="K100" s="838"/>
      <c r="L100" s="838"/>
      <c r="M100" s="838"/>
      <c r="N100" s="838"/>
      <c r="O100" s="740"/>
      <c r="P100" s="740"/>
    </row>
    <row r="101" spans="1:16" ht="22.5" x14ac:dyDescent="0.2">
      <c r="A101" s="712" t="str">
        <f>+UPPER("Maquinaria y equipo para la generacion de energia (fuentes renovables)")</f>
        <v>MAQUINARIA Y EQUIPO PARA LA GENERACION DE ENERGIA (FUENTES RENOVABLES)</v>
      </c>
      <c r="B101" s="847"/>
      <c r="C101" s="847"/>
      <c r="D101" s="848"/>
      <c r="E101" s="848"/>
      <c r="F101" s="847"/>
      <c r="G101" s="847"/>
      <c r="H101" s="843"/>
      <c r="I101" s="843"/>
      <c r="J101" s="843">
        <v>0</v>
      </c>
      <c r="K101" s="843">
        <v>0</v>
      </c>
      <c r="L101" s="843">
        <v>0</v>
      </c>
      <c r="M101" s="843">
        <v>0</v>
      </c>
      <c r="N101" s="843">
        <v>0</v>
      </c>
      <c r="O101" s="740"/>
      <c r="P101" s="740"/>
    </row>
    <row r="102" spans="1:16" x14ac:dyDescent="0.2">
      <c r="A102" s="795" t="str">
        <f>+UPPER("Deducción en el ejercicio")</f>
        <v>DEDUCCIÓN EN EL EJERCICIO</v>
      </c>
      <c r="B102" s="838"/>
      <c r="C102" s="838"/>
      <c r="D102" s="839"/>
      <c r="E102" s="839"/>
      <c r="F102" s="838"/>
      <c r="G102" s="838"/>
      <c r="H102" s="838"/>
      <c r="I102" s="838"/>
      <c r="J102" s="838"/>
      <c r="K102" s="838"/>
      <c r="L102" s="838"/>
      <c r="M102" s="838"/>
      <c r="N102" s="838"/>
      <c r="O102" s="740"/>
      <c r="P102" s="740"/>
    </row>
    <row r="103" spans="1:16" x14ac:dyDescent="0.2">
      <c r="A103" s="795" t="str">
        <f>+UPPER("Deducción inmediata en el ejercicio")</f>
        <v>DEDUCCIÓN INMEDIATA EN EL EJERCICIO</v>
      </c>
      <c r="B103" s="838"/>
      <c r="C103" s="838"/>
      <c r="D103" s="839"/>
      <c r="E103" s="839"/>
      <c r="F103" s="838"/>
      <c r="G103" s="838"/>
      <c r="H103" s="837"/>
      <c r="I103" s="837"/>
      <c r="J103" s="837"/>
      <c r="K103" s="837"/>
      <c r="L103" s="837"/>
      <c r="M103" s="837"/>
      <c r="N103" s="837"/>
      <c r="O103" s="740"/>
      <c r="P103" s="740"/>
    </row>
    <row r="104" spans="1:16" x14ac:dyDescent="0.2">
      <c r="A104" s="795" t="s">
        <v>567</v>
      </c>
      <c r="B104" s="838"/>
      <c r="C104" s="838"/>
      <c r="D104" s="839"/>
      <c r="E104" s="839"/>
      <c r="F104" s="838"/>
      <c r="G104" s="838"/>
      <c r="H104" s="838"/>
      <c r="I104" s="838"/>
      <c r="J104" s="838"/>
      <c r="K104" s="838"/>
      <c r="L104" s="838"/>
      <c r="M104" s="838"/>
      <c r="N104" s="838"/>
      <c r="O104" s="740"/>
      <c r="P104" s="740"/>
    </row>
    <row r="105" spans="1:16" x14ac:dyDescent="0.2">
      <c r="A105" s="712" t="str">
        <f>+UPPER("Terrenos (costo de adquisicion)")</f>
        <v>TERRENOS (COSTO DE ADQUISICION)</v>
      </c>
      <c r="B105" s="847"/>
      <c r="C105" s="847"/>
      <c r="D105" s="848"/>
      <c r="E105" s="848"/>
      <c r="F105" s="847"/>
      <c r="G105" s="847"/>
      <c r="H105" s="843"/>
      <c r="I105" s="843"/>
      <c r="J105" s="843">
        <v>0</v>
      </c>
      <c r="K105" s="843">
        <v>0</v>
      </c>
      <c r="L105" s="843">
        <v>0</v>
      </c>
      <c r="M105" s="843">
        <v>0</v>
      </c>
      <c r="N105" s="843">
        <v>0</v>
      </c>
      <c r="O105" s="740"/>
      <c r="P105" s="740"/>
    </row>
    <row r="106" spans="1:16" x14ac:dyDescent="0.2">
      <c r="A106" s="795" t="str">
        <f>+UPPER("Deducción en el ejercicio")</f>
        <v>DEDUCCIÓN EN EL EJERCICIO</v>
      </c>
      <c r="B106" s="838"/>
      <c r="C106" s="838"/>
      <c r="D106" s="839"/>
      <c r="E106" s="839"/>
      <c r="F106" s="838"/>
      <c r="G106" s="838"/>
      <c r="H106" s="838"/>
      <c r="I106" s="838"/>
      <c r="J106" s="838"/>
      <c r="K106" s="838"/>
      <c r="L106" s="838"/>
      <c r="M106" s="838"/>
      <c r="N106" s="838"/>
      <c r="O106" s="740"/>
      <c r="P106" s="740"/>
    </row>
    <row r="107" spans="1:16" x14ac:dyDescent="0.2">
      <c r="A107" s="795" t="str">
        <f>+UPPER("Deducción inmediata en el ejercicio")</f>
        <v>DEDUCCIÓN INMEDIATA EN EL EJERCICIO</v>
      </c>
      <c r="B107" s="838"/>
      <c r="C107" s="838"/>
      <c r="D107" s="839"/>
      <c r="E107" s="839"/>
      <c r="F107" s="838"/>
      <c r="G107" s="838"/>
      <c r="H107" s="837"/>
      <c r="I107" s="837"/>
      <c r="J107" s="837"/>
      <c r="K107" s="837"/>
      <c r="L107" s="837"/>
      <c r="M107" s="837"/>
      <c r="N107" s="837"/>
      <c r="O107" s="740"/>
      <c r="P107" s="740"/>
    </row>
    <row r="108" spans="1:16" x14ac:dyDescent="0.2">
      <c r="A108" s="795" t="s">
        <v>567</v>
      </c>
      <c r="B108" s="838"/>
      <c r="C108" s="838"/>
      <c r="D108" s="839"/>
      <c r="E108" s="839"/>
      <c r="F108" s="838"/>
      <c r="G108" s="838"/>
      <c r="H108" s="838"/>
      <c r="I108" s="838"/>
      <c r="J108" s="838"/>
      <c r="K108" s="838"/>
      <c r="L108" s="838"/>
      <c r="M108" s="838"/>
      <c r="N108" s="838"/>
      <c r="O108" s="740"/>
      <c r="P108" s="740"/>
    </row>
    <row r="109" spans="1:16" ht="22.5" x14ac:dyDescent="0.2">
      <c r="A109" s="846" t="str">
        <f>+UPPER("Adaptacion a instalaciones para personas con capacidades diferentes")</f>
        <v>ADAPTACION A INSTALACIONES PARA PERSONAS CON CAPACIDADES DIFERENTES</v>
      </c>
      <c r="B109" s="838"/>
      <c r="C109" s="838"/>
      <c r="D109" s="839"/>
      <c r="E109" s="839"/>
      <c r="F109" s="838"/>
      <c r="G109" s="838"/>
      <c r="H109" s="838"/>
      <c r="I109" s="838"/>
      <c r="J109" s="838"/>
      <c r="K109" s="838"/>
      <c r="L109" s="838"/>
      <c r="M109" s="838"/>
      <c r="N109" s="838"/>
      <c r="O109" s="740"/>
      <c r="P109" s="740"/>
    </row>
    <row r="110" spans="1:16" x14ac:dyDescent="0.2">
      <c r="A110" s="842" t="str">
        <f>+UPPER("Deducción en el ejercicio")</f>
        <v>DEDUCCIÓN EN EL EJERCICIO</v>
      </c>
      <c r="B110" s="838"/>
      <c r="C110" s="838"/>
      <c r="D110" s="839"/>
      <c r="E110" s="839"/>
      <c r="F110" s="838"/>
      <c r="G110" s="838"/>
      <c r="H110" s="838"/>
      <c r="I110" s="838"/>
      <c r="J110" s="838"/>
      <c r="K110" s="838"/>
      <c r="L110" s="838"/>
      <c r="M110" s="838"/>
      <c r="N110" s="838"/>
      <c r="O110" s="740"/>
      <c r="P110" s="740"/>
    </row>
    <row r="111" spans="1:16" x14ac:dyDescent="0.2">
      <c r="A111" s="795" t="str">
        <f>+UPPER("Deducción inmediata en el ejercicio")</f>
        <v>DEDUCCIÓN INMEDIATA EN EL EJERCICIO</v>
      </c>
      <c r="B111" s="838"/>
      <c r="C111" s="838"/>
      <c r="D111" s="839"/>
      <c r="E111" s="839"/>
      <c r="F111" s="838"/>
      <c r="G111" s="838"/>
      <c r="H111" s="838"/>
      <c r="I111" s="838"/>
      <c r="J111" s="838"/>
      <c r="K111" s="838"/>
      <c r="L111" s="838"/>
      <c r="M111" s="838"/>
      <c r="N111" s="838"/>
      <c r="O111" s="740"/>
      <c r="P111" s="740"/>
    </row>
    <row r="112" spans="1:16" x14ac:dyDescent="0.2">
      <c r="A112" s="795" t="s">
        <v>567</v>
      </c>
      <c r="B112" s="838"/>
      <c r="C112" s="838"/>
      <c r="D112" s="839"/>
      <c r="E112" s="839"/>
      <c r="F112" s="838"/>
      <c r="G112" s="838"/>
      <c r="H112" s="838"/>
      <c r="I112" s="838"/>
      <c r="J112" s="838"/>
      <c r="K112" s="838"/>
      <c r="L112" s="838"/>
      <c r="M112" s="838"/>
      <c r="N112" s="838"/>
      <c r="O112" s="740"/>
      <c r="P112" s="740"/>
    </row>
    <row r="113" spans="1:20" x14ac:dyDescent="0.2">
      <c r="A113" s="846" t="s">
        <v>1003</v>
      </c>
      <c r="B113" s="844"/>
      <c r="C113" s="844"/>
      <c r="D113" s="845"/>
      <c r="E113" s="845"/>
      <c r="F113" s="844"/>
      <c r="G113" s="844"/>
      <c r="H113" s="843"/>
      <c r="I113" s="843"/>
      <c r="J113" s="843">
        <v>0</v>
      </c>
      <c r="K113" s="843">
        <v>0</v>
      </c>
      <c r="L113" s="843">
        <v>0</v>
      </c>
      <c r="M113" s="843">
        <v>0</v>
      </c>
      <c r="N113" s="843">
        <v>0</v>
      </c>
      <c r="O113" s="740"/>
      <c r="P113" s="740"/>
    </row>
    <row r="114" spans="1:20" x14ac:dyDescent="0.2">
      <c r="A114" s="842" t="str">
        <f>+UPPER("Deducción en el ejercicio")</f>
        <v>DEDUCCIÓN EN EL EJERCICIO</v>
      </c>
      <c r="B114" s="840"/>
      <c r="C114" s="840"/>
      <c r="D114" s="841"/>
      <c r="E114" s="841"/>
      <c r="F114" s="840"/>
      <c r="G114" s="840"/>
      <c r="H114" s="840"/>
      <c r="I114" s="840"/>
      <c r="J114" s="840"/>
      <c r="K114" s="840"/>
      <c r="L114" s="840"/>
      <c r="M114" s="840"/>
      <c r="N114" s="840"/>
      <c r="O114" s="740"/>
      <c r="P114" s="740"/>
    </row>
    <row r="115" spans="1:20" x14ac:dyDescent="0.2">
      <c r="A115" s="795" t="str">
        <f>+UPPER("Deducción inmediata en el ejercicio")</f>
        <v>DEDUCCIÓN INMEDIATA EN EL EJERCICIO</v>
      </c>
      <c r="B115" s="838"/>
      <c r="C115" s="838"/>
      <c r="D115" s="839"/>
      <c r="E115" s="839"/>
      <c r="F115" s="838"/>
      <c r="G115" s="838"/>
      <c r="H115" s="837"/>
      <c r="I115" s="837"/>
      <c r="J115" s="837"/>
      <c r="K115" s="837"/>
      <c r="L115" s="837"/>
      <c r="M115" s="837"/>
      <c r="N115" s="837"/>
      <c r="O115" s="740"/>
      <c r="P115" s="740"/>
    </row>
    <row r="116" spans="1:20" x14ac:dyDescent="0.2">
      <c r="A116" s="795" t="s">
        <v>567</v>
      </c>
      <c r="B116" s="838"/>
      <c r="C116" s="838"/>
      <c r="D116" s="839"/>
      <c r="E116" s="839"/>
      <c r="F116" s="838"/>
      <c r="G116" s="838"/>
      <c r="H116" s="838"/>
      <c r="I116" s="838"/>
      <c r="J116" s="838"/>
      <c r="K116" s="838"/>
      <c r="L116" s="838"/>
      <c r="M116" s="837"/>
      <c r="N116" s="837"/>
      <c r="O116" s="740"/>
      <c r="P116" s="740"/>
    </row>
    <row r="117" spans="1:20" x14ac:dyDescent="0.2">
      <c r="A117" s="562" t="s">
        <v>965</v>
      </c>
      <c r="B117" s="644">
        <f t="shared" ref="B117:N117" si="2">+B74+B70+B66</f>
        <v>49425.585900399994</v>
      </c>
      <c r="C117" s="644">
        <f t="shared" si="2"/>
        <v>49425.585900399994</v>
      </c>
      <c r="D117" s="644">
        <f t="shared" si="2"/>
        <v>49425.585900399994</v>
      </c>
      <c r="E117" s="644">
        <f t="shared" si="2"/>
        <v>121858.26234263749</v>
      </c>
      <c r="F117" s="644">
        <f t="shared" si="2"/>
        <v>177855.36847553332</v>
      </c>
      <c r="G117" s="644">
        <f t="shared" si="2"/>
        <v>166895</v>
      </c>
      <c r="H117" s="644">
        <f t="shared" si="2"/>
        <v>0</v>
      </c>
      <c r="I117" s="644">
        <f t="shared" si="2"/>
        <v>0</v>
      </c>
      <c r="J117" s="644">
        <f t="shared" si="2"/>
        <v>0</v>
      </c>
      <c r="K117" s="644">
        <f t="shared" si="2"/>
        <v>0</v>
      </c>
      <c r="L117" s="644">
        <f t="shared" si="2"/>
        <v>0</v>
      </c>
      <c r="M117" s="644">
        <f t="shared" si="2"/>
        <v>0</v>
      </c>
      <c r="N117" s="644">
        <f t="shared" si="2"/>
        <v>0</v>
      </c>
    </row>
    <row r="118" spans="1:20" x14ac:dyDescent="0.2">
      <c r="A118" s="1056" t="s">
        <v>994</v>
      </c>
      <c r="B118" s="833"/>
      <c r="C118" s="833"/>
      <c r="D118" s="836"/>
      <c r="E118" s="836"/>
      <c r="F118" s="833"/>
      <c r="G118" s="833"/>
      <c r="H118" s="833"/>
      <c r="I118" s="833"/>
      <c r="J118" s="833"/>
      <c r="K118" s="833"/>
      <c r="L118" s="833"/>
      <c r="M118" s="833"/>
      <c r="N118" s="833"/>
    </row>
    <row r="119" spans="1:20" x14ac:dyDescent="0.2">
      <c r="A119" s="1056" t="s">
        <v>1005</v>
      </c>
      <c r="B119" s="835"/>
      <c r="C119" s="835"/>
      <c r="D119" s="834"/>
      <c r="E119" s="834"/>
      <c r="F119" s="833"/>
      <c r="G119" s="833"/>
      <c r="H119" s="833"/>
      <c r="I119" s="833"/>
      <c r="J119" s="833"/>
      <c r="K119" s="833"/>
      <c r="L119" s="833"/>
      <c r="M119" s="833"/>
      <c r="N119" s="833"/>
    </row>
    <row r="120" spans="1:20" x14ac:dyDescent="0.2">
      <c r="A120" s="593"/>
      <c r="B120" s="593"/>
      <c r="C120" s="593"/>
      <c r="D120" s="590"/>
      <c r="E120" s="594"/>
      <c r="F120" s="593"/>
      <c r="G120" s="593"/>
      <c r="H120" s="593"/>
      <c r="I120" s="593"/>
      <c r="J120" s="593"/>
      <c r="K120" s="593"/>
      <c r="L120" s="832"/>
      <c r="M120" s="831"/>
      <c r="N120" s="831"/>
    </row>
    <row r="121" spans="1:20" x14ac:dyDescent="0.2">
      <c r="A121" s="677"/>
      <c r="B121" s="733">
        <f t="shared" ref="B121:N121" si="3">+B47</f>
        <v>2017</v>
      </c>
      <c r="C121" s="733">
        <f t="shared" si="3"/>
        <v>2016</v>
      </c>
      <c r="D121" s="733">
        <f t="shared" si="3"/>
        <v>2015</v>
      </c>
      <c r="E121" s="733" t="str">
        <f t="shared" si="3"/>
        <v>2014 comp</v>
      </c>
      <c r="F121" s="733" t="str">
        <f t="shared" si="3"/>
        <v>2013 CXD</v>
      </c>
      <c r="G121" s="733" t="str">
        <f t="shared" si="3"/>
        <v>2012 CD</v>
      </c>
      <c r="H121" s="733" t="str">
        <f t="shared" si="3"/>
        <v>2011 CD</v>
      </c>
      <c r="I121" s="733">
        <f t="shared" si="3"/>
        <v>2010</v>
      </c>
      <c r="J121" s="733">
        <f t="shared" si="3"/>
        <v>2009</v>
      </c>
      <c r="K121" s="733">
        <f t="shared" si="3"/>
        <v>2008</v>
      </c>
      <c r="L121" s="733">
        <f t="shared" si="3"/>
        <v>2007</v>
      </c>
      <c r="M121" s="733">
        <f t="shared" si="3"/>
        <v>2006</v>
      </c>
      <c r="N121" s="733">
        <f t="shared" si="3"/>
        <v>2005</v>
      </c>
    </row>
    <row r="122" spans="1:20" ht="12" x14ac:dyDescent="0.2">
      <c r="A122" s="830" t="s">
        <v>104</v>
      </c>
      <c r="B122" s="588" t="s">
        <v>560</v>
      </c>
      <c r="C122" s="588" t="s">
        <v>560</v>
      </c>
      <c r="D122" s="588" t="s">
        <v>560</v>
      </c>
      <c r="E122" s="588" t="s">
        <v>560</v>
      </c>
      <c r="F122" s="588" t="s">
        <v>560</v>
      </c>
      <c r="G122" s="588" t="s">
        <v>560</v>
      </c>
      <c r="H122" s="588" t="s">
        <v>560</v>
      </c>
      <c r="I122" s="588" t="s">
        <v>560</v>
      </c>
      <c r="J122" s="588" t="s">
        <v>560</v>
      </c>
      <c r="K122" s="588" t="s">
        <v>560</v>
      </c>
      <c r="L122" s="588" t="s">
        <v>560</v>
      </c>
      <c r="M122" s="588" t="s">
        <v>560</v>
      </c>
      <c r="N122" s="588" t="s">
        <v>560</v>
      </c>
    </row>
    <row r="123" spans="1:20" ht="22.5" x14ac:dyDescent="0.2">
      <c r="A123" s="535" t="s">
        <v>569</v>
      </c>
      <c r="B123" s="704"/>
      <c r="C123" s="704"/>
      <c r="D123" s="703"/>
      <c r="E123" s="703"/>
      <c r="F123" s="704"/>
      <c r="G123" s="704"/>
      <c r="H123" s="704"/>
      <c r="I123" s="704"/>
      <c r="J123" s="704"/>
      <c r="K123" s="704">
        <v>23352980</v>
      </c>
      <c r="L123" s="704">
        <v>23352980</v>
      </c>
      <c r="M123" s="829"/>
      <c r="N123" s="829"/>
      <c r="Q123" s="571"/>
    </row>
    <row r="124" spans="1:20" ht="22.5" x14ac:dyDescent="0.2">
      <c r="A124" s="535" t="s">
        <v>570</v>
      </c>
      <c r="B124" s="704">
        <f>+ER!B5</f>
        <v>8000000</v>
      </c>
      <c r="C124" s="704">
        <f>+ER!C5</f>
        <v>8000000</v>
      </c>
      <c r="D124" s="704">
        <f>+ER!D5</f>
        <v>8000000</v>
      </c>
      <c r="E124" s="704">
        <f>+ER!E5</f>
        <v>8000000</v>
      </c>
      <c r="F124" s="704">
        <f>+ER!F5</f>
        <v>8000000</v>
      </c>
      <c r="G124" s="704">
        <f>+ER!G5</f>
        <v>8000000</v>
      </c>
      <c r="H124" s="704">
        <f>+ER!H5</f>
        <v>8000000</v>
      </c>
      <c r="I124" s="704"/>
      <c r="J124" s="704"/>
      <c r="K124" s="704">
        <v>23321</v>
      </c>
      <c r="L124" s="704">
        <v>23321</v>
      </c>
      <c r="M124" s="828"/>
      <c r="N124" s="828"/>
      <c r="T124" s="702"/>
    </row>
    <row r="125" spans="1:20" x14ac:dyDescent="0.2">
      <c r="A125" s="562" t="s">
        <v>571</v>
      </c>
      <c r="B125" s="644">
        <f t="shared" ref="B125:N125" si="4">SUM(B123:B124)</f>
        <v>8000000</v>
      </c>
      <c r="C125" s="644">
        <f t="shared" si="4"/>
        <v>8000000</v>
      </c>
      <c r="D125" s="644">
        <f t="shared" si="4"/>
        <v>8000000</v>
      </c>
      <c r="E125" s="644">
        <f t="shared" si="4"/>
        <v>8000000</v>
      </c>
      <c r="F125" s="644">
        <f t="shared" si="4"/>
        <v>8000000</v>
      </c>
      <c r="G125" s="644">
        <f t="shared" si="4"/>
        <v>8000000</v>
      </c>
      <c r="H125" s="644">
        <f t="shared" si="4"/>
        <v>8000000</v>
      </c>
      <c r="I125" s="644">
        <f t="shared" si="4"/>
        <v>0</v>
      </c>
      <c r="J125" s="644">
        <f t="shared" si="4"/>
        <v>0</v>
      </c>
      <c r="K125" s="644">
        <f t="shared" si="4"/>
        <v>23376301</v>
      </c>
      <c r="L125" s="644">
        <f t="shared" si="4"/>
        <v>23376301</v>
      </c>
      <c r="M125" s="644">
        <f t="shared" si="4"/>
        <v>0</v>
      </c>
      <c r="N125" s="644">
        <f t="shared" si="4"/>
        <v>0</v>
      </c>
      <c r="T125" s="702"/>
    </row>
    <row r="126" spans="1:20" ht="22.5" x14ac:dyDescent="0.2">
      <c r="A126" s="535" t="s">
        <v>572</v>
      </c>
      <c r="B126" s="704"/>
      <c r="C126" s="704"/>
      <c r="D126" s="703"/>
      <c r="E126" s="703"/>
      <c r="F126" s="704"/>
      <c r="G126" s="704"/>
      <c r="H126" s="704"/>
      <c r="I126" s="704"/>
      <c r="J126" s="704"/>
      <c r="K126" s="704">
        <v>98769</v>
      </c>
      <c r="L126" s="704">
        <v>98769</v>
      </c>
      <c r="M126" s="829"/>
      <c r="N126" s="829"/>
      <c r="T126" s="702"/>
    </row>
    <row r="127" spans="1:20" ht="22.5" x14ac:dyDescent="0.2">
      <c r="A127" s="535" t="s">
        <v>573</v>
      </c>
      <c r="B127" s="704"/>
      <c r="C127" s="704"/>
      <c r="D127" s="704"/>
      <c r="E127" s="704"/>
      <c r="F127" s="704"/>
      <c r="G127" s="704"/>
      <c r="H127" s="704"/>
      <c r="I127" s="704"/>
      <c r="J127" s="704"/>
      <c r="K127" s="704">
        <v>23423</v>
      </c>
      <c r="L127" s="704">
        <v>23423</v>
      </c>
      <c r="M127" s="828"/>
      <c r="N127" s="828"/>
    </row>
    <row r="128" spans="1:20" x14ac:dyDescent="0.2">
      <c r="A128" s="562" t="s">
        <v>574</v>
      </c>
      <c r="B128" s="644">
        <f t="shared" ref="B128:N128" si="5">SUM(B126:B127)</f>
        <v>0</v>
      </c>
      <c r="C128" s="644">
        <f t="shared" si="5"/>
        <v>0</v>
      </c>
      <c r="D128" s="644">
        <f t="shared" si="5"/>
        <v>0</v>
      </c>
      <c r="E128" s="644">
        <f t="shared" si="5"/>
        <v>0</v>
      </c>
      <c r="F128" s="644">
        <f t="shared" si="5"/>
        <v>0</v>
      </c>
      <c r="G128" s="644">
        <f t="shared" si="5"/>
        <v>0</v>
      </c>
      <c r="H128" s="644">
        <f t="shared" si="5"/>
        <v>0</v>
      </c>
      <c r="I128" s="644">
        <f t="shared" si="5"/>
        <v>0</v>
      </c>
      <c r="J128" s="644">
        <f t="shared" si="5"/>
        <v>0</v>
      </c>
      <c r="K128" s="644">
        <f t="shared" si="5"/>
        <v>122192</v>
      </c>
      <c r="L128" s="644">
        <f t="shared" si="5"/>
        <v>122192</v>
      </c>
      <c r="M128" s="644">
        <f t="shared" si="5"/>
        <v>0</v>
      </c>
      <c r="N128" s="644">
        <f t="shared" si="5"/>
        <v>0</v>
      </c>
    </row>
    <row r="129" spans="1:14" ht="22.5" x14ac:dyDescent="0.2">
      <c r="A129" s="555" t="s">
        <v>575</v>
      </c>
      <c r="B129" s="555"/>
      <c r="C129" s="555"/>
      <c r="D129" s="811"/>
      <c r="E129" s="811"/>
      <c r="F129" s="555"/>
      <c r="G129" s="555"/>
      <c r="H129" s="568"/>
      <c r="I129" s="568"/>
      <c r="J129" s="568"/>
      <c r="K129" s="568">
        <v>2983</v>
      </c>
      <c r="L129" s="568">
        <v>2983</v>
      </c>
      <c r="M129" s="715"/>
      <c r="N129" s="715"/>
    </row>
    <row r="130" spans="1:14" ht="22.5" x14ac:dyDescent="0.2">
      <c r="A130" s="535" t="s">
        <v>576</v>
      </c>
      <c r="B130" s="910">
        <f>-ER!B8-ER!B9-ER!B10</f>
        <v>157000</v>
      </c>
      <c r="C130" s="910">
        <f>-ER!C8-ER!C9-ER!C10</f>
        <v>157000</v>
      </c>
      <c r="D130" s="910">
        <f>-ER!D8-ER!D9-ER!D10</f>
        <v>157000</v>
      </c>
      <c r="E130" s="910">
        <f>-ER!E8-ER!E9-ER!E10</f>
        <v>157000</v>
      </c>
      <c r="F130" s="910">
        <f>-ER!F8-ER!F9-ER!F10</f>
        <v>157000</v>
      </c>
      <c r="G130" s="910">
        <f>-ER!G8-ER!G9-ER!G10</f>
        <v>157000</v>
      </c>
      <c r="H130" s="910">
        <f>-ER!H8-ER!H9-ER!H10</f>
        <v>157000</v>
      </c>
      <c r="I130" s="568"/>
      <c r="J130" s="568"/>
      <c r="K130" s="568">
        <v>2839</v>
      </c>
      <c r="L130" s="568">
        <v>2839</v>
      </c>
      <c r="M130" s="721"/>
      <c r="N130" s="721"/>
    </row>
    <row r="131" spans="1:14" ht="22.5" x14ac:dyDescent="0.2">
      <c r="A131" s="562" t="s">
        <v>577</v>
      </c>
      <c r="B131" s="644">
        <f t="shared" ref="B131:N131" si="6">SUM(B129:B130)</f>
        <v>157000</v>
      </c>
      <c r="C131" s="644">
        <f t="shared" si="6"/>
        <v>157000</v>
      </c>
      <c r="D131" s="644">
        <f t="shared" si="6"/>
        <v>157000</v>
      </c>
      <c r="E131" s="644">
        <f t="shared" si="6"/>
        <v>157000</v>
      </c>
      <c r="F131" s="644">
        <f t="shared" si="6"/>
        <v>157000</v>
      </c>
      <c r="G131" s="644">
        <f t="shared" si="6"/>
        <v>157000</v>
      </c>
      <c r="H131" s="644">
        <f t="shared" si="6"/>
        <v>157000</v>
      </c>
      <c r="I131" s="644">
        <f t="shared" si="6"/>
        <v>0</v>
      </c>
      <c r="J131" s="644">
        <f t="shared" si="6"/>
        <v>0</v>
      </c>
      <c r="K131" s="644">
        <f t="shared" si="6"/>
        <v>5822</v>
      </c>
      <c r="L131" s="644">
        <f t="shared" si="6"/>
        <v>5822</v>
      </c>
      <c r="M131" s="644">
        <f t="shared" si="6"/>
        <v>0</v>
      </c>
      <c r="N131" s="644">
        <f t="shared" si="6"/>
        <v>0</v>
      </c>
    </row>
    <row r="132" spans="1:14" ht="22.5" x14ac:dyDescent="0.2">
      <c r="A132" s="555" t="s">
        <v>578</v>
      </c>
      <c r="B132" s="555"/>
      <c r="C132" s="555"/>
      <c r="D132" s="811"/>
      <c r="E132" s="811"/>
      <c r="F132" s="555"/>
      <c r="G132" s="555"/>
      <c r="H132" s="568"/>
      <c r="I132" s="568"/>
      <c r="J132" s="568"/>
      <c r="K132" s="568">
        <v>2782</v>
      </c>
      <c r="L132" s="568">
        <v>2782</v>
      </c>
      <c r="M132" s="715"/>
      <c r="N132" s="715"/>
    </row>
    <row r="133" spans="1:14" ht="22.5" x14ac:dyDescent="0.2">
      <c r="A133" s="535" t="s">
        <v>579</v>
      </c>
      <c r="B133" s="535"/>
      <c r="C133" s="535"/>
      <c r="D133" s="687"/>
      <c r="E133" s="687"/>
      <c r="F133" s="535"/>
      <c r="G133" s="535"/>
      <c r="H133" s="568"/>
      <c r="I133" s="568"/>
      <c r="J133" s="568"/>
      <c r="K133" s="568">
        <v>28921</v>
      </c>
      <c r="L133" s="568">
        <v>28921</v>
      </c>
      <c r="M133" s="721"/>
      <c r="N133" s="721"/>
    </row>
    <row r="134" spans="1:14" ht="22.5" x14ac:dyDescent="0.2">
      <c r="A134" s="562" t="s">
        <v>580</v>
      </c>
      <c r="B134" s="644">
        <f t="shared" ref="B134:N134" si="7">SUM(B132:B133)</f>
        <v>0</v>
      </c>
      <c r="C134" s="644">
        <f t="shared" si="7"/>
        <v>0</v>
      </c>
      <c r="D134" s="644">
        <f t="shared" si="7"/>
        <v>0</v>
      </c>
      <c r="E134" s="644">
        <f t="shared" si="7"/>
        <v>0</v>
      </c>
      <c r="F134" s="644">
        <f t="shared" si="7"/>
        <v>0</v>
      </c>
      <c r="G134" s="644">
        <f t="shared" si="7"/>
        <v>0</v>
      </c>
      <c r="H134" s="644">
        <f t="shared" si="7"/>
        <v>0</v>
      </c>
      <c r="I134" s="644">
        <f t="shared" si="7"/>
        <v>0</v>
      </c>
      <c r="J134" s="644">
        <f t="shared" si="7"/>
        <v>0</v>
      </c>
      <c r="K134" s="644">
        <f t="shared" si="7"/>
        <v>31703</v>
      </c>
      <c r="L134" s="644">
        <f t="shared" si="7"/>
        <v>31703</v>
      </c>
      <c r="M134" s="644">
        <f t="shared" si="7"/>
        <v>0</v>
      </c>
      <c r="N134" s="644">
        <f t="shared" si="7"/>
        <v>0</v>
      </c>
    </row>
    <row r="135" spans="1:14" x14ac:dyDescent="0.2">
      <c r="A135" s="562" t="s">
        <v>581</v>
      </c>
      <c r="B135" s="717">
        <f t="shared" ref="B135:N135" si="8">+B123+B126-B129-B132</f>
        <v>0</v>
      </c>
      <c r="C135" s="717">
        <f t="shared" si="8"/>
        <v>0</v>
      </c>
      <c r="D135" s="717">
        <f t="shared" si="8"/>
        <v>0</v>
      </c>
      <c r="E135" s="717">
        <f t="shared" si="8"/>
        <v>0</v>
      </c>
      <c r="F135" s="717">
        <f t="shared" si="8"/>
        <v>0</v>
      </c>
      <c r="G135" s="717">
        <f t="shared" si="8"/>
        <v>0</v>
      </c>
      <c r="H135" s="717">
        <f t="shared" si="8"/>
        <v>0</v>
      </c>
      <c r="I135" s="717">
        <f t="shared" si="8"/>
        <v>0</v>
      </c>
      <c r="J135" s="717">
        <f t="shared" si="8"/>
        <v>0</v>
      </c>
      <c r="K135" s="717">
        <f t="shared" si="8"/>
        <v>23445984</v>
      </c>
      <c r="L135" s="717">
        <f t="shared" si="8"/>
        <v>23445984</v>
      </c>
      <c r="M135" s="717">
        <f t="shared" si="8"/>
        <v>0</v>
      </c>
      <c r="N135" s="717">
        <f t="shared" si="8"/>
        <v>0</v>
      </c>
    </row>
    <row r="136" spans="1:14" x14ac:dyDescent="0.2">
      <c r="A136" s="562" t="s">
        <v>582</v>
      </c>
      <c r="B136" s="717">
        <f>+B125+B128-B131-B133</f>
        <v>7843000</v>
      </c>
      <c r="C136" s="717">
        <f t="shared" ref="C136:N136" si="9">+C124+C127-C130-C133</f>
        <v>7843000</v>
      </c>
      <c r="D136" s="717">
        <f t="shared" si="9"/>
        <v>7843000</v>
      </c>
      <c r="E136" s="717">
        <f t="shared" si="9"/>
        <v>7843000</v>
      </c>
      <c r="F136" s="717">
        <f t="shared" si="9"/>
        <v>7843000</v>
      </c>
      <c r="G136" s="717">
        <f t="shared" si="9"/>
        <v>7843000</v>
      </c>
      <c r="H136" s="717">
        <f t="shared" si="9"/>
        <v>7843000</v>
      </c>
      <c r="I136" s="717">
        <f t="shared" si="9"/>
        <v>0</v>
      </c>
      <c r="J136" s="717">
        <f t="shared" si="9"/>
        <v>0</v>
      </c>
      <c r="K136" s="717">
        <f t="shared" si="9"/>
        <v>14984</v>
      </c>
      <c r="L136" s="717">
        <f t="shared" si="9"/>
        <v>14984</v>
      </c>
      <c r="M136" s="717">
        <f t="shared" si="9"/>
        <v>0</v>
      </c>
      <c r="N136" s="717">
        <f t="shared" si="9"/>
        <v>0</v>
      </c>
    </row>
    <row r="137" spans="1:14" x14ac:dyDescent="0.2">
      <c r="A137" s="712" t="s">
        <v>583</v>
      </c>
      <c r="B137" s="825">
        <f t="shared" ref="B137:N137" si="10">+B135+B136</f>
        <v>7843000</v>
      </c>
      <c r="C137" s="825">
        <f t="shared" si="10"/>
        <v>7843000</v>
      </c>
      <c r="D137" s="825">
        <f t="shared" si="10"/>
        <v>7843000</v>
      </c>
      <c r="E137" s="825">
        <f t="shared" si="10"/>
        <v>7843000</v>
      </c>
      <c r="F137" s="825">
        <f t="shared" si="10"/>
        <v>7843000</v>
      </c>
      <c r="G137" s="825">
        <f t="shared" si="10"/>
        <v>7843000</v>
      </c>
      <c r="H137" s="825">
        <f t="shared" si="10"/>
        <v>7843000</v>
      </c>
      <c r="I137" s="825">
        <f t="shared" si="10"/>
        <v>0</v>
      </c>
      <c r="J137" s="825">
        <f t="shared" si="10"/>
        <v>0</v>
      </c>
      <c r="K137" s="825">
        <f t="shared" si="10"/>
        <v>23460968</v>
      </c>
      <c r="L137" s="825">
        <f t="shared" si="10"/>
        <v>23460968</v>
      </c>
      <c r="M137" s="825">
        <f t="shared" si="10"/>
        <v>0</v>
      </c>
      <c r="N137" s="825">
        <f t="shared" si="10"/>
        <v>0</v>
      </c>
    </row>
    <row r="138" spans="1:14" x14ac:dyDescent="0.2">
      <c r="A138" s="535" t="s">
        <v>584</v>
      </c>
      <c r="B138" s="910">
        <f>+ER!B14</f>
        <v>1130000</v>
      </c>
      <c r="C138" s="910">
        <f>+ER!C14</f>
        <v>1130000</v>
      </c>
      <c r="D138" s="910">
        <f>+ER!D14</f>
        <v>1130000</v>
      </c>
      <c r="E138" s="910">
        <f>+ER!E14</f>
        <v>1130000</v>
      </c>
      <c r="F138" s="910">
        <f>+ER!F14</f>
        <v>1130000</v>
      </c>
      <c r="G138" s="910">
        <f>+ER!G14</f>
        <v>1130000</v>
      </c>
      <c r="H138" s="910">
        <f>+ER!H14</f>
        <v>1130000</v>
      </c>
      <c r="I138" s="568"/>
      <c r="J138" s="568"/>
      <c r="K138" s="568">
        <v>1</v>
      </c>
      <c r="L138" s="568">
        <v>1</v>
      </c>
      <c r="M138" s="685"/>
      <c r="N138" s="685"/>
    </row>
    <row r="139" spans="1:14" x14ac:dyDescent="0.2">
      <c r="A139" s="535" t="s">
        <v>585</v>
      </c>
      <c r="B139" s="535"/>
      <c r="C139" s="535"/>
      <c r="D139" s="687"/>
      <c r="E139" s="687"/>
      <c r="F139" s="535"/>
      <c r="G139" s="535"/>
      <c r="H139" s="568"/>
      <c r="I139" s="568"/>
      <c r="J139" s="568"/>
      <c r="K139" s="568">
        <v>1</v>
      </c>
      <c r="L139" s="568">
        <v>1</v>
      </c>
      <c r="M139" s="707"/>
      <c r="N139" s="707"/>
    </row>
    <row r="140" spans="1:14" ht="22.5" x14ac:dyDescent="0.2">
      <c r="A140" s="535" t="s">
        <v>586</v>
      </c>
      <c r="B140" s="910">
        <f>+ER!B16+ER!B17+ER!B18+ER!B19</f>
        <v>6542000</v>
      </c>
      <c r="C140" s="910">
        <f>+ER!C16+ER!C17+ER!C18+ER!C19</f>
        <v>6542000</v>
      </c>
      <c r="D140" s="910">
        <f>+ER!D16+ER!D17+ER!D18+ER!D19</f>
        <v>6542000</v>
      </c>
      <c r="E140" s="910">
        <f>+ER!E16+ER!E17+ER!E18+ER!E19</f>
        <v>6542000</v>
      </c>
      <c r="F140" s="910">
        <f>+ER!F16+ER!F17+ER!F18+ER!F19</f>
        <v>6542000</v>
      </c>
      <c r="G140" s="910">
        <f>+ER!G16+ER!G17+ER!G18+ER!G19</f>
        <v>6542000</v>
      </c>
      <c r="H140" s="910">
        <f>+ER!H16+ER!H17+ER!H18+ER!H19</f>
        <v>6542000</v>
      </c>
      <c r="I140" s="568"/>
      <c r="J140" s="568"/>
      <c r="K140" s="568">
        <v>15713162</v>
      </c>
      <c r="L140" s="568">
        <v>15713162</v>
      </c>
      <c r="M140" s="706"/>
      <c r="N140" s="706"/>
    </row>
    <row r="141" spans="1:14" x14ac:dyDescent="0.2">
      <c r="A141" s="562" t="s">
        <v>587</v>
      </c>
      <c r="B141" s="819">
        <f t="shared" ref="B141:N141" si="11">SUM(B139:B140)</f>
        <v>6542000</v>
      </c>
      <c r="C141" s="819">
        <f t="shared" si="11"/>
        <v>6542000</v>
      </c>
      <c r="D141" s="819">
        <f t="shared" si="11"/>
        <v>6542000</v>
      </c>
      <c r="E141" s="819">
        <f t="shared" si="11"/>
        <v>6542000</v>
      </c>
      <c r="F141" s="819">
        <f t="shared" si="11"/>
        <v>6542000</v>
      </c>
      <c r="G141" s="819">
        <f t="shared" si="11"/>
        <v>6542000</v>
      </c>
      <c r="H141" s="819">
        <f t="shared" si="11"/>
        <v>6542000</v>
      </c>
      <c r="I141" s="819">
        <f t="shared" si="11"/>
        <v>0</v>
      </c>
      <c r="J141" s="819">
        <f t="shared" si="11"/>
        <v>0</v>
      </c>
      <c r="K141" s="819">
        <f t="shared" si="11"/>
        <v>15713163</v>
      </c>
      <c r="L141" s="819">
        <f t="shared" si="11"/>
        <v>15713163</v>
      </c>
      <c r="M141" s="819">
        <f t="shared" si="11"/>
        <v>0</v>
      </c>
      <c r="N141" s="819">
        <f t="shared" si="11"/>
        <v>0</v>
      </c>
    </row>
    <row r="142" spans="1:14" ht="22.5" x14ac:dyDescent="0.2">
      <c r="A142" s="535" t="s">
        <v>588</v>
      </c>
      <c r="B142" s="535"/>
      <c r="C142" s="535"/>
      <c r="D142" s="687"/>
      <c r="E142" s="687"/>
      <c r="F142" s="535"/>
      <c r="G142" s="535"/>
      <c r="H142" s="568"/>
      <c r="I142" s="568"/>
      <c r="J142" s="568"/>
      <c r="K142" s="568">
        <v>787</v>
      </c>
      <c r="L142" s="568">
        <v>787</v>
      </c>
      <c r="M142" s="707"/>
      <c r="N142" s="707"/>
    </row>
    <row r="143" spans="1:14" ht="22.5" x14ac:dyDescent="0.2">
      <c r="A143" s="535" t="s">
        <v>589</v>
      </c>
      <c r="B143" s="910"/>
      <c r="C143" s="910"/>
      <c r="D143" s="910"/>
      <c r="E143" s="910"/>
      <c r="F143" s="910"/>
      <c r="G143" s="910"/>
      <c r="H143" s="910"/>
      <c r="I143" s="568"/>
      <c r="J143" s="568"/>
      <c r="K143" s="568">
        <v>98</v>
      </c>
      <c r="L143" s="568">
        <v>98</v>
      </c>
      <c r="M143" s="706"/>
      <c r="N143" s="706"/>
    </row>
    <row r="144" spans="1:14" x14ac:dyDescent="0.2">
      <c r="A144" s="562" t="s">
        <v>590</v>
      </c>
      <c r="B144" s="819">
        <f t="shared" ref="B144:N144" si="12">SUM(B142:B143)</f>
        <v>0</v>
      </c>
      <c r="C144" s="819">
        <f t="shared" si="12"/>
        <v>0</v>
      </c>
      <c r="D144" s="819">
        <f t="shared" si="12"/>
        <v>0</v>
      </c>
      <c r="E144" s="819">
        <f t="shared" si="12"/>
        <v>0</v>
      </c>
      <c r="F144" s="819">
        <f t="shared" si="12"/>
        <v>0</v>
      </c>
      <c r="G144" s="819">
        <f t="shared" si="12"/>
        <v>0</v>
      </c>
      <c r="H144" s="819">
        <f t="shared" si="12"/>
        <v>0</v>
      </c>
      <c r="I144" s="819">
        <f t="shared" si="12"/>
        <v>0</v>
      </c>
      <c r="J144" s="819">
        <f t="shared" si="12"/>
        <v>0</v>
      </c>
      <c r="K144" s="819">
        <f t="shared" si="12"/>
        <v>885</v>
      </c>
      <c r="L144" s="819">
        <f t="shared" si="12"/>
        <v>885</v>
      </c>
      <c r="M144" s="819">
        <f t="shared" si="12"/>
        <v>0</v>
      </c>
      <c r="N144" s="819">
        <f t="shared" si="12"/>
        <v>0</v>
      </c>
    </row>
    <row r="145" spans="1:20" x14ac:dyDescent="0.2">
      <c r="A145" s="535" t="s">
        <v>591</v>
      </c>
      <c r="B145" s="910">
        <f>+ER!B23</f>
        <v>1130000</v>
      </c>
      <c r="C145" s="910">
        <f>+ER!C23</f>
        <v>1130000</v>
      </c>
      <c r="D145" s="910">
        <f>+ER!D23</f>
        <v>1130000</v>
      </c>
      <c r="E145" s="910">
        <f>+ER!E23</f>
        <v>1130000</v>
      </c>
      <c r="F145" s="910">
        <f>+ER!F23</f>
        <v>1130000</v>
      </c>
      <c r="G145" s="910">
        <f>+ER!G23</f>
        <v>1130000</v>
      </c>
      <c r="H145" s="910">
        <f>+ER!H23</f>
        <v>1130000</v>
      </c>
      <c r="I145" s="568"/>
      <c r="J145" s="568"/>
      <c r="K145" s="568"/>
      <c r="L145" s="568"/>
      <c r="M145" s="685"/>
      <c r="N145" s="685"/>
    </row>
    <row r="146" spans="1:20" x14ac:dyDescent="0.2">
      <c r="A146" s="712" t="s">
        <v>592</v>
      </c>
      <c r="B146" s="825">
        <f t="shared" ref="B146:N146" si="13">+B141+B138+B144-B145</f>
        <v>6542000</v>
      </c>
      <c r="C146" s="825">
        <f t="shared" si="13"/>
        <v>6542000</v>
      </c>
      <c r="D146" s="825">
        <f t="shared" si="13"/>
        <v>6542000</v>
      </c>
      <c r="E146" s="825">
        <f t="shared" si="13"/>
        <v>6542000</v>
      </c>
      <c r="F146" s="825">
        <f t="shared" si="13"/>
        <v>6542000</v>
      </c>
      <c r="G146" s="825">
        <f t="shared" si="13"/>
        <v>6542000</v>
      </c>
      <c r="H146" s="825">
        <f t="shared" si="13"/>
        <v>6542000</v>
      </c>
      <c r="I146" s="825">
        <f t="shared" si="13"/>
        <v>0</v>
      </c>
      <c r="J146" s="825">
        <f t="shared" si="13"/>
        <v>0</v>
      </c>
      <c r="K146" s="825">
        <f t="shared" si="13"/>
        <v>15714049</v>
      </c>
      <c r="L146" s="825">
        <f t="shared" si="13"/>
        <v>15714049</v>
      </c>
      <c r="M146" s="825">
        <f t="shared" si="13"/>
        <v>0</v>
      </c>
      <c r="N146" s="825">
        <f t="shared" si="13"/>
        <v>0</v>
      </c>
    </row>
    <row r="147" spans="1:20" x14ac:dyDescent="0.2">
      <c r="A147" s="535" t="s">
        <v>593</v>
      </c>
      <c r="B147" s="535"/>
      <c r="C147" s="535"/>
      <c r="D147" s="687"/>
      <c r="E147" s="687"/>
      <c r="F147" s="568"/>
      <c r="G147" s="568"/>
      <c r="H147" s="568"/>
      <c r="I147" s="568"/>
      <c r="J147" s="568"/>
      <c r="K147" s="568">
        <v>878</v>
      </c>
      <c r="L147" s="568">
        <v>878</v>
      </c>
      <c r="M147" s="707"/>
      <c r="N147" s="707"/>
    </row>
    <row r="148" spans="1:20" x14ac:dyDescent="0.2">
      <c r="A148" s="535" t="s">
        <v>594</v>
      </c>
      <c r="B148" s="535"/>
      <c r="C148" s="535"/>
      <c r="D148" s="687"/>
      <c r="E148" s="687"/>
      <c r="F148" s="567"/>
      <c r="G148" s="535"/>
      <c r="H148" s="568"/>
      <c r="I148" s="568"/>
      <c r="J148" s="568"/>
      <c r="K148" s="568">
        <v>787</v>
      </c>
      <c r="L148" s="568">
        <v>787</v>
      </c>
      <c r="M148" s="827"/>
      <c r="N148" s="827"/>
    </row>
    <row r="149" spans="1:20" x14ac:dyDescent="0.2">
      <c r="A149" s="562" t="s">
        <v>595</v>
      </c>
      <c r="B149" s="820">
        <f t="shared" ref="B149:N149" si="14">SUM(B147:B148)</f>
        <v>0</v>
      </c>
      <c r="C149" s="820">
        <f t="shared" si="14"/>
        <v>0</v>
      </c>
      <c r="D149" s="820">
        <f t="shared" si="14"/>
        <v>0</v>
      </c>
      <c r="E149" s="820">
        <f t="shared" si="14"/>
        <v>0</v>
      </c>
      <c r="F149" s="820">
        <f t="shared" si="14"/>
        <v>0</v>
      </c>
      <c r="G149" s="820">
        <f t="shared" si="14"/>
        <v>0</v>
      </c>
      <c r="H149" s="820">
        <f t="shared" si="14"/>
        <v>0</v>
      </c>
      <c r="I149" s="820">
        <f t="shared" si="14"/>
        <v>0</v>
      </c>
      <c r="J149" s="820">
        <f t="shared" si="14"/>
        <v>0</v>
      </c>
      <c r="K149" s="820">
        <f t="shared" si="14"/>
        <v>1665</v>
      </c>
      <c r="L149" s="820">
        <f t="shared" si="14"/>
        <v>1665</v>
      </c>
      <c r="M149" s="820">
        <f t="shared" si="14"/>
        <v>0</v>
      </c>
      <c r="N149" s="820">
        <f t="shared" si="14"/>
        <v>0</v>
      </c>
    </row>
    <row r="150" spans="1:20" x14ac:dyDescent="0.2">
      <c r="A150" s="535" t="s">
        <v>596</v>
      </c>
      <c r="B150" s="535"/>
      <c r="C150" s="535"/>
      <c r="D150" s="687"/>
      <c r="E150" s="687"/>
      <c r="F150" s="535"/>
      <c r="G150" s="535"/>
      <c r="H150" s="568"/>
      <c r="I150" s="568"/>
      <c r="J150" s="568"/>
      <c r="K150" s="568">
        <v>4546</v>
      </c>
      <c r="L150" s="568">
        <v>4546</v>
      </c>
      <c r="M150" s="707"/>
      <c r="N150" s="707"/>
    </row>
    <row r="151" spans="1:20" x14ac:dyDescent="0.2">
      <c r="A151" s="535" t="s">
        <v>597</v>
      </c>
      <c r="B151" s="535"/>
      <c r="C151" s="535"/>
      <c r="D151" s="687"/>
      <c r="E151" s="687"/>
      <c r="F151" s="535"/>
      <c r="G151" s="535"/>
      <c r="H151" s="568"/>
      <c r="I151" s="568"/>
      <c r="J151" s="568"/>
      <c r="K151" s="568">
        <v>7878</v>
      </c>
      <c r="L151" s="568">
        <v>7878</v>
      </c>
      <c r="M151" s="827"/>
      <c r="N151" s="827"/>
    </row>
    <row r="152" spans="1:20" x14ac:dyDescent="0.2">
      <c r="A152" s="562" t="s">
        <v>598</v>
      </c>
      <c r="B152" s="820">
        <f t="shared" ref="B152:N152" si="15">SUM(B150:B151)</f>
        <v>0</v>
      </c>
      <c r="C152" s="820">
        <f t="shared" si="15"/>
        <v>0</v>
      </c>
      <c r="D152" s="820">
        <f t="shared" si="15"/>
        <v>0</v>
      </c>
      <c r="E152" s="820">
        <f t="shared" si="15"/>
        <v>0</v>
      </c>
      <c r="F152" s="820">
        <f t="shared" si="15"/>
        <v>0</v>
      </c>
      <c r="G152" s="820">
        <f t="shared" si="15"/>
        <v>0</v>
      </c>
      <c r="H152" s="820">
        <f t="shared" si="15"/>
        <v>0</v>
      </c>
      <c r="I152" s="820">
        <f t="shared" si="15"/>
        <v>0</v>
      </c>
      <c r="J152" s="820">
        <f t="shared" si="15"/>
        <v>0</v>
      </c>
      <c r="K152" s="820">
        <f t="shared" si="15"/>
        <v>12424</v>
      </c>
      <c r="L152" s="820">
        <f t="shared" si="15"/>
        <v>12424</v>
      </c>
      <c r="M152" s="820">
        <f t="shared" si="15"/>
        <v>0</v>
      </c>
      <c r="N152" s="820">
        <f t="shared" si="15"/>
        <v>0</v>
      </c>
    </row>
    <row r="153" spans="1:20" ht="22.5" x14ac:dyDescent="0.2">
      <c r="A153" s="535" t="s">
        <v>599</v>
      </c>
      <c r="B153" s="535"/>
      <c r="C153" s="535"/>
      <c r="D153" s="687"/>
      <c r="E153" s="687"/>
      <c r="F153" s="535"/>
      <c r="G153" s="535"/>
      <c r="H153" s="568"/>
      <c r="I153" s="568"/>
      <c r="J153" s="568"/>
      <c r="K153" s="568">
        <v>4664</v>
      </c>
      <c r="L153" s="568">
        <v>4664</v>
      </c>
      <c r="M153" s="707"/>
      <c r="N153" s="707"/>
    </row>
    <row r="154" spans="1:20" ht="22.5" x14ac:dyDescent="0.2">
      <c r="A154" s="535" t="s">
        <v>600</v>
      </c>
      <c r="B154" s="910">
        <f>+ER!B20</f>
        <v>171000</v>
      </c>
      <c r="C154" s="910">
        <f>+ER!C20</f>
        <v>171000</v>
      </c>
      <c r="D154" s="910">
        <f>+ER!D20</f>
        <v>171000</v>
      </c>
      <c r="E154" s="910">
        <f>+ER!E20</f>
        <v>171000</v>
      </c>
      <c r="F154" s="910">
        <f>+ER!F20</f>
        <v>171000</v>
      </c>
      <c r="G154" s="910">
        <f>+ER!G20</f>
        <v>171000</v>
      </c>
      <c r="H154" s="910">
        <f>+ER!H20</f>
        <v>171000</v>
      </c>
      <c r="I154" s="568"/>
      <c r="J154" s="568"/>
      <c r="K154" s="568">
        <v>7656</v>
      </c>
      <c r="L154" s="568">
        <v>7656</v>
      </c>
      <c r="M154" s="827"/>
      <c r="N154" s="827"/>
    </row>
    <row r="155" spans="1:20" x14ac:dyDescent="0.2">
      <c r="A155" s="562" t="s">
        <v>601</v>
      </c>
      <c r="B155" s="820">
        <f t="shared" ref="B155:N155" si="16">SUM(B153:B154)</f>
        <v>171000</v>
      </c>
      <c r="C155" s="820">
        <f t="shared" si="16"/>
        <v>171000</v>
      </c>
      <c r="D155" s="820">
        <f t="shared" si="16"/>
        <v>171000</v>
      </c>
      <c r="E155" s="820">
        <f t="shared" si="16"/>
        <v>171000</v>
      </c>
      <c r="F155" s="820">
        <f t="shared" si="16"/>
        <v>171000</v>
      </c>
      <c r="G155" s="820">
        <f t="shared" si="16"/>
        <v>171000</v>
      </c>
      <c r="H155" s="820">
        <f t="shared" si="16"/>
        <v>171000</v>
      </c>
      <c r="I155" s="820">
        <f t="shared" si="16"/>
        <v>0</v>
      </c>
      <c r="J155" s="820">
        <f t="shared" si="16"/>
        <v>0</v>
      </c>
      <c r="K155" s="820">
        <f t="shared" si="16"/>
        <v>12320</v>
      </c>
      <c r="L155" s="820">
        <f t="shared" si="16"/>
        <v>12320</v>
      </c>
      <c r="M155" s="820">
        <f t="shared" si="16"/>
        <v>0</v>
      </c>
      <c r="N155" s="820">
        <f t="shared" si="16"/>
        <v>0</v>
      </c>
    </row>
    <row r="156" spans="1:20" x14ac:dyDescent="0.2">
      <c r="A156" s="712" t="s">
        <v>602</v>
      </c>
      <c r="B156" s="825">
        <f t="shared" ref="B156:N156" si="17">+B146+B149+B152+B155</f>
        <v>6713000</v>
      </c>
      <c r="C156" s="825">
        <f t="shared" si="17"/>
        <v>6713000</v>
      </c>
      <c r="D156" s="825">
        <f t="shared" si="17"/>
        <v>6713000</v>
      </c>
      <c r="E156" s="825">
        <f t="shared" si="17"/>
        <v>6713000</v>
      </c>
      <c r="F156" s="825">
        <f t="shared" si="17"/>
        <v>6713000</v>
      </c>
      <c r="G156" s="825">
        <f t="shared" si="17"/>
        <v>6713000</v>
      </c>
      <c r="H156" s="825">
        <f t="shared" si="17"/>
        <v>6713000</v>
      </c>
      <c r="I156" s="825">
        <f t="shared" si="17"/>
        <v>0</v>
      </c>
      <c r="J156" s="825">
        <f t="shared" si="17"/>
        <v>0</v>
      </c>
      <c r="K156" s="825">
        <f t="shared" si="17"/>
        <v>15740458</v>
      </c>
      <c r="L156" s="825">
        <f t="shared" si="17"/>
        <v>15740458</v>
      </c>
      <c r="M156" s="825">
        <f t="shared" si="17"/>
        <v>0</v>
      </c>
      <c r="N156" s="825">
        <f t="shared" si="17"/>
        <v>0</v>
      </c>
    </row>
    <row r="157" spans="1:20" x14ac:dyDescent="0.2">
      <c r="A157" s="712" t="s">
        <v>603</v>
      </c>
      <c r="B157" s="825">
        <f>+IF(B137-B156&gt;=0,B137-B156,0)</f>
        <v>1130000</v>
      </c>
      <c r="C157" s="825">
        <f t="shared" ref="C157:N157" si="18">+IF(C137-C156&gt;=0,C137-C156,0)</f>
        <v>1130000</v>
      </c>
      <c r="D157" s="825">
        <f t="shared" si="18"/>
        <v>1130000</v>
      </c>
      <c r="E157" s="825">
        <f t="shared" si="18"/>
        <v>1130000</v>
      </c>
      <c r="F157" s="825">
        <f t="shared" si="18"/>
        <v>1130000</v>
      </c>
      <c r="G157" s="825">
        <f t="shared" si="18"/>
        <v>1130000</v>
      </c>
      <c r="H157" s="825">
        <f t="shared" si="18"/>
        <v>1130000</v>
      </c>
      <c r="I157" s="825">
        <f t="shared" si="18"/>
        <v>0</v>
      </c>
      <c r="J157" s="825">
        <f t="shared" si="18"/>
        <v>0</v>
      </c>
      <c r="K157" s="825">
        <f t="shared" si="18"/>
        <v>7720510</v>
      </c>
      <c r="L157" s="825">
        <f t="shared" si="18"/>
        <v>7720510</v>
      </c>
      <c r="M157" s="825">
        <f t="shared" si="18"/>
        <v>0</v>
      </c>
      <c r="N157" s="825">
        <f t="shared" si="18"/>
        <v>0</v>
      </c>
      <c r="T157" s="826"/>
    </row>
    <row r="158" spans="1:20" x14ac:dyDescent="0.2">
      <c r="A158" s="712" t="s">
        <v>604</v>
      </c>
      <c r="B158" s="825">
        <f t="shared" ref="B158:N158" si="19">-IF(B137-B156&lt;=0,B137-B156,0)</f>
        <v>0</v>
      </c>
      <c r="C158" s="825">
        <f t="shared" si="19"/>
        <v>0</v>
      </c>
      <c r="D158" s="825">
        <f t="shared" si="19"/>
        <v>0</v>
      </c>
      <c r="E158" s="825">
        <f t="shared" si="19"/>
        <v>0</v>
      </c>
      <c r="F158" s="825">
        <f t="shared" si="19"/>
        <v>0</v>
      </c>
      <c r="G158" s="825">
        <f t="shared" si="19"/>
        <v>0</v>
      </c>
      <c r="H158" s="825">
        <f t="shared" si="19"/>
        <v>0</v>
      </c>
      <c r="I158" s="825">
        <f t="shared" si="19"/>
        <v>0</v>
      </c>
      <c r="J158" s="825">
        <f t="shared" si="19"/>
        <v>0</v>
      </c>
      <c r="K158" s="825">
        <f t="shared" si="19"/>
        <v>0</v>
      </c>
      <c r="L158" s="825">
        <f t="shared" si="19"/>
        <v>0</v>
      </c>
      <c r="M158" s="825">
        <f t="shared" si="19"/>
        <v>0</v>
      </c>
      <c r="N158" s="825">
        <f t="shared" si="19"/>
        <v>0</v>
      </c>
      <c r="T158" s="824"/>
    </row>
    <row r="159" spans="1:20" x14ac:dyDescent="0.2">
      <c r="A159" s="535" t="s">
        <v>605</v>
      </c>
      <c r="B159" s="609"/>
      <c r="C159" s="609"/>
      <c r="D159" s="816"/>
      <c r="E159" s="816"/>
      <c r="F159" s="609"/>
      <c r="G159" s="609"/>
      <c r="H159" s="689"/>
      <c r="I159" s="689"/>
      <c r="J159" s="689"/>
      <c r="K159" s="568">
        <v>6963287</v>
      </c>
      <c r="L159" s="689">
        <v>6963287</v>
      </c>
      <c r="M159" s="707"/>
      <c r="N159" s="707"/>
    </row>
    <row r="160" spans="1:20" x14ac:dyDescent="0.2">
      <c r="A160" s="535" t="s">
        <v>606</v>
      </c>
      <c r="B160" s="910">
        <f>+ER!B28+ER!B29</f>
        <v>478000</v>
      </c>
      <c r="C160" s="572">
        <v>2482646.2599999979</v>
      </c>
      <c r="D160" s="823">
        <v>2614680.36</v>
      </c>
      <c r="E160" s="822">
        <v>1256089</v>
      </c>
      <c r="F160" s="710">
        <v>1081908.3565000002</v>
      </c>
      <c r="G160" s="689">
        <v>665037.12</v>
      </c>
      <c r="H160" s="689">
        <v>336332.13</v>
      </c>
      <c r="I160" s="689"/>
      <c r="J160" s="689"/>
      <c r="K160" s="568">
        <v>56789</v>
      </c>
      <c r="L160" s="689">
        <v>56789</v>
      </c>
      <c r="M160" s="706"/>
      <c r="N160" s="706"/>
    </row>
    <row r="161" spans="1:14" x14ac:dyDescent="0.2">
      <c r="A161" s="562" t="s">
        <v>607</v>
      </c>
      <c r="B161" s="819">
        <f t="shared" ref="B161:N161" si="20">SUM(B159:B160)</f>
        <v>478000</v>
      </c>
      <c r="C161" s="819">
        <f t="shared" si="20"/>
        <v>2482646.2599999979</v>
      </c>
      <c r="D161" s="819">
        <f t="shared" si="20"/>
        <v>2614680.36</v>
      </c>
      <c r="E161" s="819">
        <f t="shared" si="20"/>
        <v>1256089</v>
      </c>
      <c r="F161" s="819">
        <f t="shared" si="20"/>
        <v>1081908.3565000002</v>
      </c>
      <c r="G161" s="819">
        <f t="shared" si="20"/>
        <v>665037.12</v>
      </c>
      <c r="H161" s="819">
        <f t="shared" si="20"/>
        <v>336332.13</v>
      </c>
      <c r="I161" s="819">
        <f t="shared" si="20"/>
        <v>0</v>
      </c>
      <c r="J161" s="819">
        <f t="shared" si="20"/>
        <v>0</v>
      </c>
      <c r="K161" s="819">
        <f t="shared" si="20"/>
        <v>7020076</v>
      </c>
      <c r="L161" s="819">
        <f t="shared" si="20"/>
        <v>7020076</v>
      </c>
      <c r="M161" s="819">
        <f t="shared" si="20"/>
        <v>0</v>
      </c>
      <c r="N161" s="819">
        <f t="shared" si="20"/>
        <v>0</v>
      </c>
    </row>
    <row r="162" spans="1:14" x14ac:dyDescent="0.2">
      <c r="A162" s="562" t="s">
        <v>608</v>
      </c>
      <c r="B162" s="717">
        <f t="shared" ref="B162:N162" si="21">+B157-B161</f>
        <v>652000</v>
      </c>
      <c r="C162" s="717">
        <f t="shared" ref="C162" si="22">+C157-C161</f>
        <v>-1352646.2599999979</v>
      </c>
      <c r="D162" s="717">
        <f t="shared" ref="D162" si="23">+D157-D161</f>
        <v>-1484680.3599999999</v>
      </c>
      <c r="E162" s="717">
        <f t="shared" ref="E162" si="24">+E157-E161</f>
        <v>-126089</v>
      </c>
      <c r="F162" s="717">
        <f t="shared" ref="F162" si="25">+F157-F161</f>
        <v>48091.643499999773</v>
      </c>
      <c r="G162" s="717">
        <f t="shared" ref="G162" si="26">+G157-G161</f>
        <v>464962.88</v>
      </c>
      <c r="H162" s="717">
        <f t="shared" ref="H162" si="27">+H157-H161</f>
        <v>793667.87</v>
      </c>
      <c r="I162" s="717">
        <f t="shared" si="21"/>
        <v>0</v>
      </c>
      <c r="J162" s="717">
        <f t="shared" si="21"/>
        <v>0</v>
      </c>
      <c r="K162" s="717">
        <f t="shared" si="21"/>
        <v>700434</v>
      </c>
      <c r="L162" s="717">
        <f t="shared" si="21"/>
        <v>700434</v>
      </c>
      <c r="M162" s="717">
        <f t="shared" si="21"/>
        <v>0</v>
      </c>
      <c r="N162" s="717">
        <f t="shared" si="21"/>
        <v>0</v>
      </c>
    </row>
    <row r="163" spans="1:14" x14ac:dyDescent="0.2">
      <c r="A163" s="562" t="s">
        <v>609</v>
      </c>
      <c r="B163" s="717">
        <f t="shared" ref="B163:N163" si="28">-IF(B157-B161&lt;=0,B157-B161-B158,0)</f>
        <v>0</v>
      </c>
      <c r="C163" s="717">
        <f t="shared" ref="C163:H163" si="29">-IF(C157-C161&lt;=0,C157-C161-C158,0)</f>
        <v>1352646.2599999979</v>
      </c>
      <c r="D163" s="717">
        <f t="shared" si="29"/>
        <v>1484680.3599999999</v>
      </c>
      <c r="E163" s="717">
        <f t="shared" si="29"/>
        <v>126089</v>
      </c>
      <c r="F163" s="717">
        <f t="shared" si="29"/>
        <v>0</v>
      </c>
      <c r="G163" s="717">
        <f t="shared" si="29"/>
        <v>0</v>
      </c>
      <c r="H163" s="717">
        <f t="shared" si="29"/>
        <v>0</v>
      </c>
      <c r="I163" s="717">
        <f t="shared" si="28"/>
        <v>0</v>
      </c>
      <c r="J163" s="717">
        <f t="shared" si="28"/>
        <v>0</v>
      </c>
      <c r="K163" s="717">
        <f t="shared" si="28"/>
        <v>0</v>
      </c>
      <c r="L163" s="717">
        <f t="shared" si="28"/>
        <v>0</v>
      </c>
      <c r="M163" s="717">
        <f t="shared" si="28"/>
        <v>0</v>
      </c>
      <c r="N163" s="717">
        <f t="shared" si="28"/>
        <v>0</v>
      </c>
    </row>
    <row r="164" spans="1:14" ht="22.5" x14ac:dyDescent="0.2">
      <c r="A164" s="535" t="s">
        <v>610</v>
      </c>
      <c r="B164" s="609"/>
      <c r="C164" s="609"/>
      <c r="D164" s="816"/>
      <c r="E164" s="816"/>
      <c r="F164" s="609"/>
      <c r="G164" s="609"/>
      <c r="H164" s="689"/>
      <c r="I164" s="689"/>
      <c r="J164" s="689"/>
      <c r="K164" s="568">
        <v>67676</v>
      </c>
      <c r="L164" s="689">
        <v>67676</v>
      </c>
      <c r="M164" s="707"/>
      <c r="N164" s="707"/>
    </row>
    <row r="165" spans="1:14" ht="22.5" x14ac:dyDescent="0.2">
      <c r="A165" s="535" t="s">
        <v>611</v>
      </c>
      <c r="B165" s="609"/>
      <c r="C165" s="609"/>
      <c r="D165" s="816"/>
      <c r="E165" s="816"/>
      <c r="F165" s="609"/>
      <c r="G165" s="609"/>
      <c r="H165" s="689"/>
      <c r="I165" s="689"/>
      <c r="J165" s="689"/>
      <c r="K165" s="568">
        <v>343</v>
      </c>
      <c r="L165" s="689">
        <v>343</v>
      </c>
      <c r="M165" s="706"/>
      <c r="N165" s="706"/>
    </row>
    <row r="166" spans="1:14" ht="22.5" x14ac:dyDescent="0.2">
      <c r="A166" s="562" t="s">
        <v>612</v>
      </c>
      <c r="B166" s="819">
        <f t="shared" ref="B166:N166" si="30">SUM(B164:B165)</f>
        <v>0</v>
      </c>
      <c r="C166" s="819">
        <f t="shared" si="30"/>
        <v>0</v>
      </c>
      <c r="D166" s="819">
        <f t="shared" si="30"/>
        <v>0</v>
      </c>
      <c r="E166" s="819">
        <f t="shared" si="30"/>
        <v>0</v>
      </c>
      <c r="F166" s="819">
        <f t="shared" si="30"/>
        <v>0</v>
      </c>
      <c r="G166" s="819">
        <f t="shared" si="30"/>
        <v>0</v>
      </c>
      <c r="H166" s="819">
        <f t="shared" si="30"/>
        <v>0</v>
      </c>
      <c r="I166" s="819">
        <f t="shared" si="30"/>
        <v>0</v>
      </c>
      <c r="J166" s="819">
        <f t="shared" si="30"/>
        <v>0</v>
      </c>
      <c r="K166" s="819">
        <f t="shared" si="30"/>
        <v>68019</v>
      </c>
      <c r="L166" s="819">
        <f t="shared" si="30"/>
        <v>68019</v>
      </c>
      <c r="M166" s="819">
        <f t="shared" si="30"/>
        <v>0</v>
      </c>
      <c r="N166" s="819">
        <f t="shared" si="30"/>
        <v>0</v>
      </c>
    </row>
    <row r="167" spans="1:14" ht="22.5" x14ac:dyDescent="0.2">
      <c r="A167" s="535" t="s">
        <v>613</v>
      </c>
      <c r="B167" s="609"/>
      <c r="C167" s="609"/>
      <c r="D167" s="816"/>
      <c r="E167" s="816"/>
      <c r="F167" s="609"/>
      <c r="G167" s="609"/>
      <c r="H167" s="689"/>
      <c r="I167" s="689"/>
      <c r="J167" s="689"/>
      <c r="K167" s="568">
        <v>343</v>
      </c>
      <c r="L167" s="689">
        <v>343</v>
      </c>
      <c r="M167" s="706"/>
      <c r="N167" s="706"/>
    </row>
    <row r="168" spans="1:14" ht="22.5" x14ac:dyDescent="0.2">
      <c r="A168" s="535" t="s">
        <v>614</v>
      </c>
      <c r="B168" s="609"/>
      <c r="C168" s="609"/>
      <c r="D168" s="816"/>
      <c r="E168" s="816"/>
      <c r="F168" s="609"/>
      <c r="G168" s="609"/>
      <c r="H168" s="689"/>
      <c r="I168" s="689"/>
      <c r="J168" s="689"/>
      <c r="K168" s="568">
        <v>343</v>
      </c>
      <c r="L168" s="689">
        <v>343</v>
      </c>
      <c r="M168" s="706"/>
      <c r="N168" s="706"/>
    </row>
    <row r="169" spans="1:14" ht="22.5" x14ac:dyDescent="0.2">
      <c r="A169" s="562" t="s">
        <v>615</v>
      </c>
      <c r="B169" s="819">
        <f t="shared" ref="B169:N169" si="31">SUM(B167:B168)</f>
        <v>0</v>
      </c>
      <c r="C169" s="819">
        <f t="shared" si="31"/>
        <v>0</v>
      </c>
      <c r="D169" s="819">
        <f t="shared" si="31"/>
        <v>0</v>
      </c>
      <c r="E169" s="819">
        <f t="shared" si="31"/>
        <v>0</v>
      </c>
      <c r="F169" s="819">
        <f t="shared" si="31"/>
        <v>0</v>
      </c>
      <c r="G169" s="819">
        <f t="shared" si="31"/>
        <v>0</v>
      </c>
      <c r="H169" s="819">
        <f t="shared" si="31"/>
        <v>0</v>
      </c>
      <c r="I169" s="819">
        <f t="shared" si="31"/>
        <v>0</v>
      </c>
      <c r="J169" s="819">
        <f t="shared" si="31"/>
        <v>0</v>
      </c>
      <c r="K169" s="819">
        <f t="shared" si="31"/>
        <v>686</v>
      </c>
      <c r="L169" s="819">
        <f t="shared" si="31"/>
        <v>686</v>
      </c>
      <c r="M169" s="819">
        <f t="shared" si="31"/>
        <v>0</v>
      </c>
      <c r="N169" s="819">
        <f t="shared" si="31"/>
        <v>0</v>
      </c>
    </row>
    <row r="170" spans="1:14" ht="22.5" x14ac:dyDescent="0.2">
      <c r="A170" s="535" t="s">
        <v>616</v>
      </c>
      <c r="B170" s="609"/>
      <c r="C170" s="609"/>
      <c r="D170" s="816"/>
      <c r="E170" s="816"/>
      <c r="F170" s="609"/>
      <c r="G170" s="609"/>
      <c r="H170" s="689"/>
      <c r="I170" s="689"/>
      <c r="J170" s="689"/>
      <c r="K170" s="568">
        <v>3333</v>
      </c>
      <c r="L170" s="689">
        <v>3333</v>
      </c>
      <c r="M170" s="706"/>
      <c r="N170" s="706"/>
    </row>
    <row r="171" spans="1:14" ht="22.5" x14ac:dyDescent="0.2">
      <c r="A171" s="535" t="s">
        <v>617</v>
      </c>
      <c r="B171" s="609"/>
      <c r="C171" s="609"/>
      <c r="D171" s="816"/>
      <c r="E171" s="816"/>
      <c r="F171" s="609"/>
      <c r="G171" s="609"/>
      <c r="H171" s="689"/>
      <c r="I171" s="689"/>
      <c r="J171" s="689"/>
      <c r="K171" s="568">
        <v>342</v>
      </c>
      <c r="L171" s="689">
        <v>342</v>
      </c>
      <c r="M171" s="706"/>
      <c r="N171" s="706"/>
    </row>
    <row r="172" spans="1:14" x14ac:dyDescent="0.2">
      <c r="A172" s="562" t="s">
        <v>964</v>
      </c>
      <c r="B172" s="819">
        <f t="shared" ref="B172:N172" si="32">SUM(B170:B171)</f>
        <v>0</v>
      </c>
      <c r="C172" s="819">
        <f t="shared" si="32"/>
        <v>0</v>
      </c>
      <c r="D172" s="819">
        <f t="shared" si="32"/>
        <v>0</v>
      </c>
      <c r="E172" s="819">
        <f t="shared" si="32"/>
        <v>0</v>
      </c>
      <c r="F172" s="819">
        <f t="shared" si="32"/>
        <v>0</v>
      </c>
      <c r="G172" s="819">
        <f t="shared" si="32"/>
        <v>0</v>
      </c>
      <c r="H172" s="819">
        <f t="shared" si="32"/>
        <v>0</v>
      </c>
      <c r="I172" s="819">
        <f t="shared" si="32"/>
        <v>0</v>
      </c>
      <c r="J172" s="819">
        <f t="shared" si="32"/>
        <v>0</v>
      </c>
      <c r="K172" s="819">
        <f t="shared" si="32"/>
        <v>3675</v>
      </c>
      <c r="L172" s="819">
        <f t="shared" si="32"/>
        <v>3675</v>
      </c>
      <c r="M172" s="819">
        <f t="shared" si="32"/>
        <v>0</v>
      </c>
      <c r="N172" s="819">
        <f t="shared" si="32"/>
        <v>0</v>
      </c>
    </row>
    <row r="173" spans="1:14" ht="22.5" x14ac:dyDescent="0.2">
      <c r="A173" s="535" t="s">
        <v>618</v>
      </c>
      <c r="B173" s="609"/>
      <c r="C173" s="609"/>
      <c r="D173" s="816"/>
      <c r="E173" s="816"/>
      <c r="F173" s="609"/>
      <c r="G173" s="609"/>
      <c r="H173" s="689"/>
      <c r="I173" s="689"/>
      <c r="J173" s="689"/>
      <c r="K173" s="568">
        <v>322</v>
      </c>
      <c r="L173" s="689">
        <v>322</v>
      </c>
      <c r="M173" s="706"/>
      <c r="N173" s="706"/>
    </row>
    <row r="174" spans="1:14" ht="22.5" x14ac:dyDescent="0.2">
      <c r="A174" s="535" t="s">
        <v>619</v>
      </c>
      <c r="B174" s="609">
        <f>+ER!B35</f>
        <v>18000</v>
      </c>
      <c r="C174" s="609"/>
      <c r="D174" s="816"/>
      <c r="E174" s="816"/>
      <c r="F174" s="609"/>
      <c r="G174" s="609"/>
      <c r="H174" s="689"/>
      <c r="I174" s="689"/>
      <c r="J174" s="689"/>
      <c r="K174" s="568">
        <v>235</v>
      </c>
      <c r="L174" s="689">
        <v>235</v>
      </c>
      <c r="M174" s="706"/>
      <c r="N174" s="706"/>
    </row>
    <row r="175" spans="1:14" ht="22.5" x14ac:dyDescent="0.2">
      <c r="A175" s="562" t="s">
        <v>620</v>
      </c>
      <c r="B175" s="819">
        <f t="shared" ref="B175:N175" si="33">SUM(B173:B174)</f>
        <v>18000</v>
      </c>
      <c r="C175" s="819">
        <f t="shared" si="33"/>
        <v>0</v>
      </c>
      <c r="D175" s="819">
        <f t="shared" si="33"/>
        <v>0</v>
      </c>
      <c r="E175" s="819">
        <f t="shared" si="33"/>
        <v>0</v>
      </c>
      <c r="F175" s="819">
        <f t="shared" si="33"/>
        <v>0</v>
      </c>
      <c r="G175" s="819">
        <f t="shared" si="33"/>
        <v>0</v>
      </c>
      <c r="H175" s="819">
        <f t="shared" si="33"/>
        <v>0</v>
      </c>
      <c r="I175" s="819">
        <f t="shared" si="33"/>
        <v>0</v>
      </c>
      <c r="J175" s="819">
        <f t="shared" si="33"/>
        <v>0</v>
      </c>
      <c r="K175" s="819">
        <f t="shared" si="33"/>
        <v>557</v>
      </c>
      <c r="L175" s="819">
        <f t="shared" si="33"/>
        <v>557</v>
      </c>
      <c r="M175" s="819">
        <f t="shared" si="33"/>
        <v>0</v>
      </c>
      <c r="N175" s="819">
        <f t="shared" si="33"/>
        <v>0</v>
      </c>
    </row>
    <row r="176" spans="1:14" x14ac:dyDescent="0.2">
      <c r="A176" s="535" t="s">
        <v>621</v>
      </c>
      <c r="B176" s="609"/>
      <c r="C176" s="609"/>
      <c r="D176" s="816"/>
      <c r="E176" s="816"/>
      <c r="F176" s="609"/>
      <c r="G176" s="609"/>
      <c r="H176" s="689"/>
      <c r="I176" s="689"/>
      <c r="J176" s="689"/>
      <c r="K176" s="568">
        <v>214</v>
      </c>
      <c r="L176" s="689">
        <v>214</v>
      </c>
      <c r="M176" s="706"/>
      <c r="N176" s="706"/>
    </row>
    <row r="177" spans="1:14" x14ac:dyDescent="0.2">
      <c r="A177" s="535" t="s">
        <v>622</v>
      </c>
      <c r="B177" s="609">
        <f>+ER!B36</f>
        <v>1300</v>
      </c>
      <c r="C177" s="609"/>
      <c r="D177" s="816"/>
      <c r="E177" s="816"/>
      <c r="F177" s="609"/>
      <c r="G177" s="609"/>
      <c r="H177" s="689"/>
      <c r="I177" s="689"/>
      <c r="J177" s="689"/>
      <c r="K177" s="568">
        <v>423</v>
      </c>
      <c r="L177" s="689">
        <v>423</v>
      </c>
      <c r="M177" s="706"/>
      <c r="N177" s="706"/>
    </row>
    <row r="178" spans="1:14" x14ac:dyDescent="0.2">
      <c r="A178" s="562" t="s">
        <v>623</v>
      </c>
      <c r="B178" s="819">
        <f t="shared" ref="B178:N178" si="34">SUM(B176:B177)</f>
        <v>1300</v>
      </c>
      <c r="C178" s="819">
        <f t="shared" si="34"/>
        <v>0</v>
      </c>
      <c r="D178" s="819">
        <f t="shared" si="34"/>
        <v>0</v>
      </c>
      <c r="E178" s="819">
        <f t="shared" si="34"/>
        <v>0</v>
      </c>
      <c r="F178" s="819">
        <f t="shared" si="34"/>
        <v>0</v>
      </c>
      <c r="G178" s="819">
        <f t="shared" si="34"/>
        <v>0</v>
      </c>
      <c r="H178" s="819">
        <f t="shared" si="34"/>
        <v>0</v>
      </c>
      <c r="I178" s="819">
        <f t="shared" si="34"/>
        <v>0</v>
      </c>
      <c r="J178" s="819">
        <f t="shared" si="34"/>
        <v>0</v>
      </c>
      <c r="K178" s="819">
        <f t="shared" si="34"/>
        <v>637</v>
      </c>
      <c r="L178" s="819">
        <f t="shared" si="34"/>
        <v>637</v>
      </c>
      <c r="M178" s="819">
        <f t="shared" si="34"/>
        <v>0</v>
      </c>
      <c r="N178" s="819">
        <f t="shared" si="34"/>
        <v>0</v>
      </c>
    </row>
    <row r="179" spans="1:14" ht="22.5" x14ac:dyDescent="0.2">
      <c r="A179" s="535" t="s">
        <v>624</v>
      </c>
      <c r="B179" s="609"/>
      <c r="C179" s="609"/>
      <c r="D179" s="816"/>
      <c r="E179" s="816"/>
      <c r="F179" s="609"/>
      <c r="G179" s="609"/>
      <c r="H179" s="689"/>
      <c r="I179" s="689"/>
      <c r="J179" s="689"/>
      <c r="K179" s="568">
        <v>2323</v>
      </c>
      <c r="L179" s="689">
        <v>2323</v>
      </c>
      <c r="M179" s="707"/>
      <c r="N179" s="707"/>
    </row>
    <row r="180" spans="1:14" ht="22.5" x14ac:dyDescent="0.2">
      <c r="A180" s="535" t="s">
        <v>625</v>
      </c>
      <c r="B180" s="609">
        <f>-ER!B33</f>
        <v>14000</v>
      </c>
      <c r="C180" s="609"/>
      <c r="D180" s="816"/>
      <c r="E180" s="816"/>
      <c r="F180" s="609"/>
      <c r="G180" s="609"/>
      <c r="H180" s="689"/>
      <c r="I180" s="689"/>
      <c r="J180" s="689"/>
      <c r="K180" s="568">
        <v>232</v>
      </c>
      <c r="L180" s="689">
        <v>232</v>
      </c>
      <c r="M180" s="706"/>
      <c r="N180" s="706"/>
    </row>
    <row r="181" spans="1:14" ht="22.5" x14ac:dyDescent="0.2">
      <c r="A181" s="562" t="s">
        <v>626</v>
      </c>
      <c r="B181" s="819">
        <f t="shared" ref="B181:N181" si="35">SUM(B179:B180)</f>
        <v>14000</v>
      </c>
      <c r="C181" s="819">
        <f t="shared" si="35"/>
        <v>0</v>
      </c>
      <c r="D181" s="819">
        <f t="shared" si="35"/>
        <v>0</v>
      </c>
      <c r="E181" s="819">
        <f t="shared" si="35"/>
        <v>0</v>
      </c>
      <c r="F181" s="819">
        <f t="shared" si="35"/>
        <v>0</v>
      </c>
      <c r="G181" s="819">
        <f t="shared" si="35"/>
        <v>0</v>
      </c>
      <c r="H181" s="819">
        <f t="shared" si="35"/>
        <v>0</v>
      </c>
      <c r="I181" s="819">
        <f t="shared" si="35"/>
        <v>0</v>
      </c>
      <c r="J181" s="819">
        <f t="shared" si="35"/>
        <v>0</v>
      </c>
      <c r="K181" s="819">
        <f t="shared" si="35"/>
        <v>2555</v>
      </c>
      <c r="L181" s="819">
        <f t="shared" si="35"/>
        <v>2555</v>
      </c>
      <c r="M181" s="819">
        <f t="shared" si="35"/>
        <v>0</v>
      </c>
      <c r="N181" s="819">
        <f t="shared" si="35"/>
        <v>0</v>
      </c>
    </row>
    <row r="182" spans="1:14" ht="22.5" x14ac:dyDescent="0.2">
      <c r="A182" s="535" t="s">
        <v>627</v>
      </c>
      <c r="B182" s="609"/>
      <c r="C182" s="609"/>
      <c r="D182" s="816"/>
      <c r="E182" s="816"/>
      <c r="F182" s="609"/>
      <c r="G182" s="609"/>
      <c r="H182" s="689"/>
      <c r="I182" s="689"/>
      <c r="J182" s="689"/>
      <c r="K182" s="568">
        <v>321</v>
      </c>
      <c r="L182" s="689">
        <v>321</v>
      </c>
      <c r="M182" s="706"/>
      <c r="N182" s="706"/>
    </row>
    <row r="183" spans="1:14" ht="22.5" x14ac:dyDescent="0.2">
      <c r="A183" s="535" t="s">
        <v>628</v>
      </c>
      <c r="B183" s="609"/>
      <c r="C183" s="609"/>
      <c r="D183" s="816"/>
      <c r="E183" s="816"/>
      <c r="F183" s="609"/>
      <c r="G183" s="609"/>
      <c r="H183" s="689"/>
      <c r="I183" s="689"/>
      <c r="J183" s="689"/>
      <c r="K183" s="568">
        <v>535</v>
      </c>
      <c r="L183" s="689">
        <v>535</v>
      </c>
      <c r="M183" s="706"/>
      <c r="N183" s="706"/>
    </row>
    <row r="184" spans="1:14" ht="22.5" x14ac:dyDescent="0.2">
      <c r="A184" s="562" t="s">
        <v>629</v>
      </c>
      <c r="B184" s="819">
        <f>SUM(B182:B183)</f>
        <v>0</v>
      </c>
      <c r="C184" s="819">
        <v>0</v>
      </c>
      <c r="D184" s="821">
        <v>0</v>
      </c>
      <c r="E184" s="821">
        <f>SUM(E182:E183)</f>
        <v>0</v>
      </c>
      <c r="F184" s="819">
        <v>0</v>
      </c>
      <c r="G184" s="819">
        <v>0</v>
      </c>
      <c r="H184" s="819">
        <v>0</v>
      </c>
      <c r="I184" s="819"/>
      <c r="J184" s="819">
        <v>0</v>
      </c>
      <c r="K184" s="820">
        <v>856</v>
      </c>
      <c r="L184" s="819">
        <v>856</v>
      </c>
      <c r="M184" s="706"/>
      <c r="N184" s="706"/>
    </row>
    <row r="185" spans="1:14" ht="22.5" x14ac:dyDescent="0.2">
      <c r="A185" s="535" t="s">
        <v>630</v>
      </c>
      <c r="B185" s="609"/>
      <c r="C185" s="609"/>
      <c r="D185" s="816"/>
      <c r="E185" s="816"/>
      <c r="F185" s="609"/>
      <c r="G185" s="609"/>
      <c r="H185" s="689"/>
      <c r="I185" s="689"/>
      <c r="J185" s="689"/>
      <c r="K185" s="568">
        <v>323</v>
      </c>
      <c r="L185" s="689">
        <v>323</v>
      </c>
      <c r="M185" s="706"/>
      <c r="N185" s="706"/>
    </row>
    <row r="186" spans="1:14" ht="22.5" x14ac:dyDescent="0.2">
      <c r="A186" s="535" t="s">
        <v>631</v>
      </c>
      <c r="B186" s="609"/>
      <c r="C186" s="609"/>
      <c r="D186" s="816"/>
      <c r="E186" s="816"/>
      <c r="F186" s="609"/>
      <c r="G186" s="609"/>
      <c r="H186" s="689"/>
      <c r="I186" s="689"/>
      <c r="J186" s="689"/>
      <c r="K186" s="568">
        <v>876</v>
      </c>
      <c r="L186" s="689">
        <v>876</v>
      </c>
      <c r="M186" s="706"/>
      <c r="N186" s="706"/>
    </row>
    <row r="187" spans="1:14" ht="22.5" x14ac:dyDescent="0.2">
      <c r="A187" s="562" t="s">
        <v>632</v>
      </c>
      <c r="B187" s="819">
        <f>SUM(B185:B186)</f>
        <v>0</v>
      </c>
      <c r="C187" s="819">
        <v>0</v>
      </c>
      <c r="D187" s="821">
        <v>0</v>
      </c>
      <c r="E187" s="821">
        <f>SUM(E185:E186)</f>
        <v>0</v>
      </c>
      <c r="F187" s="819">
        <v>0</v>
      </c>
      <c r="G187" s="819">
        <v>0</v>
      </c>
      <c r="H187" s="819">
        <v>0</v>
      </c>
      <c r="I187" s="819"/>
      <c r="J187" s="819">
        <v>0</v>
      </c>
      <c r="K187" s="820">
        <v>1199</v>
      </c>
      <c r="L187" s="819">
        <v>1199</v>
      </c>
      <c r="M187" s="706"/>
      <c r="N187" s="706"/>
    </row>
    <row r="188" spans="1:14" ht="22.5" x14ac:dyDescent="0.2">
      <c r="A188" s="535" t="s">
        <v>633</v>
      </c>
      <c r="B188" s="609"/>
      <c r="C188" s="609"/>
      <c r="D188" s="816"/>
      <c r="E188" s="816"/>
      <c r="F188" s="609"/>
      <c r="G188" s="609"/>
      <c r="H188" s="689"/>
      <c r="I188" s="689"/>
      <c r="J188" s="689"/>
      <c r="K188" s="568">
        <v>457</v>
      </c>
      <c r="L188" s="689">
        <v>457</v>
      </c>
      <c r="M188" s="706"/>
      <c r="N188" s="706"/>
    </row>
    <row r="189" spans="1:14" ht="22.5" x14ac:dyDescent="0.2">
      <c r="A189" s="535" t="s">
        <v>634</v>
      </c>
      <c r="B189" s="609"/>
      <c r="C189" s="609"/>
      <c r="D189" s="816"/>
      <c r="E189" s="816"/>
      <c r="F189" s="609"/>
      <c r="G189" s="609"/>
      <c r="H189" s="689"/>
      <c r="I189" s="689"/>
      <c r="J189" s="689"/>
      <c r="K189" s="568">
        <v>423</v>
      </c>
      <c r="L189" s="689">
        <v>423</v>
      </c>
      <c r="M189" s="706"/>
      <c r="N189" s="706"/>
    </row>
    <row r="190" spans="1:14" ht="22.5" x14ac:dyDescent="0.2">
      <c r="A190" s="562" t="s">
        <v>635</v>
      </c>
      <c r="B190" s="819">
        <f>SUM(B188:B189)</f>
        <v>0</v>
      </c>
      <c r="C190" s="819">
        <v>0</v>
      </c>
      <c r="D190" s="821">
        <v>0</v>
      </c>
      <c r="E190" s="821">
        <f>SUM(E188:E189)</f>
        <v>0</v>
      </c>
      <c r="F190" s="819">
        <v>0</v>
      </c>
      <c r="G190" s="819">
        <v>0</v>
      </c>
      <c r="H190" s="819">
        <v>0</v>
      </c>
      <c r="I190" s="819"/>
      <c r="J190" s="819">
        <v>0</v>
      </c>
      <c r="K190" s="820">
        <v>880</v>
      </c>
      <c r="L190" s="819">
        <v>880</v>
      </c>
      <c r="M190" s="706"/>
      <c r="N190" s="706"/>
    </row>
    <row r="191" spans="1:14" x14ac:dyDescent="0.2">
      <c r="A191" s="535" t="s">
        <v>636</v>
      </c>
      <c r="B191" s="609"/>
      <c r="C191" s="609"/>
      <c r="D191" s="816"/>
      <c r="E191" s="816"/>
      <c r="F191" s="609"/>
      <c r="G191" s="609"/>
      <c r="H191" s="689"/>
      <c r="I191" s="689"/>
      <c r="J191" s="689"/>
      <c r="K191" s="568">
        <v>134</v>
      </c>
      <c r="L191" s="689">
        <v>134</v>
      </c>
      <c r="M191" s="706"/>
      <c r="N191" s="706"/>
    </row>
    <row r="192" spans="1:14" x14ac:dyDescent="0.2">
      <c r="A192" s="535" t="s">
        <v>637</v>
      </c>
      <c r="B192" s="609">
        <f>-ER!B34</f>
        <v>630</v>
      </c>
      <c r="C192" s="609"/>
      <c r="D192" s="816"/>
      <c r="E192" s="816"/>
      <c r="F192" s="609"/>
      <c r="G192" s="609"/>
      <c r="H192" s="689"/>
      <c r="I192" s="689"/>
      <c r="J192" s="689"/>
      <c r="K192" s="568">
        <v>432</v>
      </c>
      <c r="L192" s="689">
        <v>432</v>
      </c>
      <c r="M192" s="706"/>
      <c r="N192" s="706"/>
    </row>
    <row r="193" spans="1:14" x14ac:dyDescent="0.2">
      <c r="A193" s="562" t="s">
        <v>638</v>
      </c>
      <c r="B193" s="819">
        <f t="shared" ref="B193:N193" si="36">SUM(B191:B192)</f>
        <v>630</v>
      </c>
      <c r="C193" s="819">
        <f t="shared" si="36"/>
        <v>0</v>
      </c>
      <c r="D193" s="819">
        <f t="shared" si="36"/>
        <v>0</v>
      </c>
      <c r="E193" s="819">
        <f t="shared" si="36"/>
        <v>0</v>
      </c>
      <c r="F193" s="819">
        <f t="shared" si="36"/>
        <v>0</v>
      </c>
      <c r="G193" s="819">
        <f t="shared" si="36"/>
        <v>0</v>
      </c>
      <c r="H193" s="819">
        <f t="shared" si="36"/>
        <v>0</v>
      </c>
      <c r="I193" s="819">
        <f t="shared" si="36"/>
        <v>0</v>
      </c>
      <c r="J193" s="819">
        <f t="shared" si="36"/>
        <v>0</v>
      </c>
      <c r="K193" s="819">
        <f t="shared" si="36"/>
        <v>566</v>
      </c>
      <c r="L193" s="819">
        <f t="shared" si="36"/>
        <v>566</v>
      </c>
      <c r="M193" s="819">
        <f t="shared" si="36"/>
        <v>0</v>
      </c>
      <c r="N193" s="819">
        <f t="shared" si="36"/>
        <v>0</v>
      </c>
    </row>
    <row r="194" spans="1:14" ht="22.5" x14ac:dyDescent="0.2">
      <c r="A194" s="535" t="s">
        <v>639</v>
      </c>
      <c r="B194" s="626"/>
      <c r="C194" s="626"/>
      <c r="D194" s="1057"/>
      <c r="E194" s="1057"/>
      <c r="F194" s="626"/>
      <c r="G194" s="609"/>
      <c r="H194" s="689"/>
      <c r="I194" s="689"/>
      <c r="J194" s="689"/>
      <c r="K194" s="568">
        <v>347</v>
      </c>
      <c r="L194" s="689">
        <v>347</v>
      </c>
      <c r="M194" s="707"/>
      <c r="N194" s="707"/>
    </row>
    <row r="195" spans="1:14" ht="22.5" x14ac:dyDescent="0.2">
      <c r="A195" s="535" t="s">
        <v>640</v>
      </c>
      <c r="B195" s="626"/>
      <c r="C195" s="626"/>
      <c r="D195" s="1057"/>
      <c r="E195" s="1057"/>
      <c r="F195" s="626"/>
      <c r="G195" s="609"/>
      <c r="H195" s="689"/>
      <c r="I195" s="689"/>
      <c r="J195" s="689"/>
      <c r="K195" s="568">
        <v>765</v>
      </c>
      <c r="L195" s="689">
        <v>765</v>
      </c>
      <c r="M195" s="706"/>
      <c r="N195" s="706"/>
    </row>
    <row r="196" spans="1:14" ht="22.5" x14ac:dyDescent="0.2">
      <c r="A196" s="562" t="s">
        <v>641</v>
      </c>
      <c r="B196" s="819">
        <f t="shared" ref="B196:N196" si="37">SUM(B194:B195)</f>
        <v>0</v>
      </c>
      <c r="C196" s="819">
        <f t="shared" si="37"/>
        <v>0</v>
      </c>
      <c r="D196" s="819">
        <f t="shared" si="37"/>
        <v>0</v>
      </c>
      <c r="E196" s="819">
        <f t="shared" si="37"/>
        <v>0</v>
      </c>
      <c r="F196" s="819">
        <f t="shared" si="37"/>
        <v>0</v>
      </c>
      <c r="G196" s="819">
        <f t="shared" si="37"/>
        <v>0</v>
      </c>
      <c r="H196" s="819">
        <f t="shared" si="37"/>
        <v>0</v>
      </c>
      <c r="I196" s="819">
        <f t="shared" si="37"/>
        <v>0</v>
      </c>
      <c r="J196" s="819">
        <f t="shared" si="37"/>
        <v>0</v>
      </c>
      <c r="K196" s="819">
        <f t="shared" si="37"/>
        <v>1112</v>
      </c>
      <c r="L196" s="819">
        <f t="shared" si="37"/>
        <v>1112</v>
      </c>
      <c r="M196" s="819">
        <f t="shared" si="37"/>
        <v>0</v>
      </c>
      <c r="N196" s="819">
        <f t="shared" si="37"/>
        <v>0</v>
      </c>
    </row>
    <row r="197" spans="1:14" ht="22.5" x14ac:dyDescent="0.2">
      <c r="A197" s="535" t="s">
        <v>642</v>
      </c>
      <c r="B197" s="626"/>
      <c r="C197" s="626"/>
      <c r="D197" s="1057"/>
      <c r="E197" s="1057"/>
      <c r="F197" s="626"/>
      <c r="G197" s="609"/>
      <c r="H197" s="689"/>
      <c r="I197" s="689"/>
      <c r="J197" s="689"/>
      <c r="K197" s="568"/>
      <c r="L197" s="689"/>
      <c r="M197" s="706"/>
      <c r="N197" s="706"/>
    </row>
    <row r="198" spans="1:14" ht="22.5" x14ac:dyDescent="0.2">
      <c r="A198" s="535" t="s">
        <v>643</v>
      </c>
      <c r="B198" s="626"/>
      <c r="C198" s="626"/>
      <c r="D198" s="1057"/>
      <c r="E198" s="1057"/>
      <c r="F198" s="626"/>
      <c r="G198" s="609"/>
      <c r="H198" s="689"/>
      <c r="I198" s="689"/>
      <c r="J198" s="689"/>
      <c r="K198" s="568"/>
      <c r="L198" s="689"/>
      <c r="M198" s="706"/>
      <c r="N198" s="706"/>
    </row>
    <row r="199" spans="1:14" ht="22.5" x14ac:dyDescent="0.2">
      <c r="A199" s="562" t="s">
        <v>644</v>
      </c>
      <c r="B199" s="819">
        <f t="shared" ref="B199:N199" si="38">SUM(B197:B198)</f>
        <v>0</v>
      </c>
      <c r="C199" s="819">
        <f t="shared" si="38"/>
        <v>0</v>
      </c>
      <c r="D199" s="819">
        <f t="shared" si="38"/>
        <v>0</v>
      </c>
      <c r="E199" s="819">
        <f t="shared" si="38"/>
        <v>0</v>
      </c>
      <c r="F199" s="819">
        <f t="shared" si="38"/>
        <v>0</v>
      </c>
      <c r="G199" s="819">
        <f t="shared" si="38"/>
        <v>0</v>
      </c>
      <c r="H199" s="819">
        <f t="shared" si="38"/>
        <v>0</v>
      </c>
      <c r="I199" s="819">
        <f t="shared" si="38"/>
        <v>0</v>
      </c>
      <c r="J199" s="819">
        <f t="shared" si="38"/>
        <v>0</v>
      </c>
      <c r="K199" s="819">
        <f t="shared" si="38"/>
        <v>0</v>
      </c>
      <c r="L199" s="819">
        <f t="shared" si="38"/>
        <v>0</v>
      </c>
      <c r="M199" s="819">
        <f t="shared" si="38"/>
        <v>0</v>
      </c>
      <c r="N199" s="819">
        <f t="shared" si="38"/>
        <v>0</v>
      </c>
    </row>
    <row r="200" spans="1:14" x14ac:dyDescent="0.2">
      <c r="A200" s="535" t="s">
        <v>107</v>
      </c>
      <c r="B200" s="694"/>
      <c r="C200" s="694"/>
      <c r="D200" s="815"/>
      <c r="E200" s="815"/>
      <c r="F200" s="694"/>
      <c r="G200" s="694"/>
      <c r="H200" s="694"/>
      <c r="I200" s="694"/>
      <c r="J200" s="694"/>
      <c r="K200" s="694"/>
      <c r="L200" s="694"/>
      <c r="M200" s="708"/>
      <c r="N200" s="708"/>
    </row>
    <row r="201" spans="1:14" ht="22.5" x14ac:dyDescent="0.2">
      <c r="A201" s="535" t="s">
        <v>645</v>
      </c>
      <c r="B201" s="609"/>
      <c r="C201" s="609"/>
      <c r="D201" s="816"/>
      <c r="E201" s="816"/>
      <c r="F201" s="609"/>
      <c r="G201" s="609"/>
      <c r="H201" s="689"/>
      <c r="I201" s="689"/>
      <c r="J201" s="689"/>
      <c r="K201" s="568">
        <v>67646</v>
      </c>
      <c r="L201" s="689">
        <v>67646</v>
      </c>
      <c r="M201" s="707"/>
      <c r="N201" s="707"/>
    </row>
    <row r="202" spans="1:14" ht="22.5" x14ac:dyDescent="0.2">
      <c r="A202" s="535" t="s">
        <v>646</v>
      </c>
      <c r="B202" s="609"/>
      <c r="C202" s="609"/>
      <c r="D202" s="816"/>
      <c r="E202" s="816"/>
      <c r="F202" s="609"/>
      <c r="G202" s="609"/>
      <c r="H202" s="689"/>
      <c r="I202" s="689"/>
      <c r="J202" s="689"/>
      <c r="K202" s="568">
        <v>457</v>
      </c>
      <c r="L202" s="689">
        <v>457</v>
      </c>
      <c r="M202" s="706"/>
      <c r="N202" s="706"/>
    </row>
    <row r="203" spans="1:14" ht="22.5" x14ac:dyDescent="0.2">
      <c r="A203" s="562" t="s">
        <v>647</v>
      </c>
      <c r="B203" s="819">
        <f t="shared" ref="B203:N203" si="39">SUM(B201:B202)</f>
        <v>0</v>
      </c>
      <c r="C203" s="819">
        <f t="shared" si="39"/>
        <v>0</v>
      </c>
      <c r="D203" s="819">
        <f t="shared" si="39"/>
        <v>0</v>
      </c>
      <c r="E203" s="819">
        <f t="shared" si="39"/>
        <v>0</v>
      </c>
      <c r="F203" s="819">
        <f t="shared" si="39"/>
        <v>0</v>
      </c>
      <c r="G203" s="819">
        <f t="shared" si="39"/>
        <v>0</v>
      </c>
      <c r="H203" s="819">
        <f t="shared" si="39"/>
        <v>0</v>
      </c>
      <c r="I203" s="819">
        <f t="shared" si="39"/>
        <v>0</v>
      </c>
      <c r="J203" s="819">
        <f t="shared" si="39"/>
        <v>0</v>
      </c>
      <c r="K203" s="819">
        <f t="shared" si="39"/>
        <v>68103</v>
      </c>
      <c r="L203" s="819">
        <f t="shared" si="39"/>
        <v>68103</v>
      </c>
      <c r="M203" s="819">
        <f t="shared" si="39"/>
        <v>0</v>
      </c>
      <c r="N203" s="819">
        <f t="shared" si="39"/>
        <v>0</v>
      </c>
    </row>
    <row r="204" spans="1:14" ht="22.5" x14ac:dyDescent="0.2">
      <c r="A204" s="535" t="s">
        <v>648</v>
      </c>
      <c r="B204" s="609"/>
      <c r="C204" s="609"/>
      <c r="D204" s="816"/>
      <c r="E204" s="816"/>
      <c r="F204" s="609"/>
      <c r="G204" s="609"/>
      <c r="H204" s="689"/>
      <c r="I204" s="689"/>
      <c r="J204" s="689"/>
      <c r="K204" s="568">
        <v>755</v>
      </c>
      <c r="L204" s="689">
        <v>755</v>
      </c>
      <c r="M204" s="706"/>
      <c r="N204" s="706"/>
    </row>
    <row r="205" spans="1:14" ht="22.5" x14ac:dyDescent="0.2">
      <c r="A205" s="535" t="s">
        <v>649</v>
      </c>
      <c r="B205" s="609"/>
      <c r="C205" s="609"/>
      <c r="D205" s="816"/>
      <c r="E205" s="816"/>
      <c r="F205" s="609"/>
      <c r="G205" s="609"/>
      <c r="H205" s="689"/>
      <c r="I205" s="689"/>
      <c r="J205" s="689"/>
      <c r="K205" s="568">
        <v>568</v>
      </c>
      <c r="L205" s="689">
        <v>568</v>
      </c>
      <c r="M205" s="706"/>
      <c r="N205" s="706"/>
    </row>
    <row r="206" spans="1:14" ht="22.5" x14ac:dyDescent="0.2">
      <c r="A206" s="562" t="s">
        <v>650</v>
      </c>
      <c r="B206" s="819">
        <f t="shared" ref="B206:N206" si="40">SUM(B204:B205)</f>
        <v>0</v>
      </c>
      <c r="C206" s="819">
        <f t="shared" si="40"/>
        <v>0</v>
      </c>
      <c r="D206" s="819">
        <f t="shared" si="40"/>
        <v>0</v>
      </c>
      <c r="E206" s="819">
        <f t="shared" si="40"/>
        <v>0</v>
      </c>
      <c r="F206" s="819">
        <f t="shared" si="40"/>
        <v>0</v>
      </c>
      <c r="G206" s="819">
        <f t="shared" si="40"/>
        <v>0</v>
      </c>
      <c r="H206" s="819">
        <f t="shared" si="40"/>
        <v>0</v>
      </c>
      <c r="I206" s="819">
        <f t="shared" si="40"/>
        <v>0</v>
      </c>
      <c r="J206" s="819">
        <f t="shared" si="40"/>
        <v>0</v>
      </c>
      <c r="K206" s="819">
        <f t="shared" si="40"/>
        <v>1323</v>
      </c>
      <c r="L206" s="819">
        <f t="shared" si="40"/>
        <v>1323</v>
      </c>
      <c r="M206" s="819">
        <f t="shared" si="40"/>
        <v>0</v>
      </c>
      <c r="N206" s="819">
        <f t="shared" si="40"/>
        <v>0</v>
      </c>
    </row>
    <row r="207" spans="1:14" x14ac:dyDescent="0.2">
      <c r="A207" s="712" t="s">
        <v>651</v>
      </c>
      <c r="B207" s="825">
        <f t="shared" ref="B207:N207" si="41">+B203+B206</f>
        <v>0</v>
      </c>
      <c r="C207" s="825">
        <f t="shared" si="41"/>
        <v>0</v>
      </c>
      <c r="D207" s="825">
        <f t="shared" si="41"/>
        <v>0</v>
      </c>
      <c r="E207" s="825">
        <f t="shared" si="41"/>
        <v>0</v>
      </c>
      <c r="F207" s="825">
        <f t="shared" si="41"/>
        <v>0</v>
      </c>
      <c r="G207" s="825">
        <f t="shared" si="41"/>
        <v>0</v>
      </c>
      <c r="H207" s="825">
        <f t="shared" si="41"/>
        <v>0</v>
      </c>
      <c r="I207" s="825">
        <f t="shared" si="41"/>
        <v>0</v>
      </c>
      <c r="J207" s="825">
        <f t="shared" si="41"/>
        <v>0</v>
      </c>
      <c r="K207" s="825">
        <f t="shared" si="41"/>
        <v>69426</v>
      </c>
      <c r="L207" s="825">
        <f t="shared" si="41"/>
        <v>69426</v>
      </c>
      <c r="M207" s="825">
        <f t="shared" si="41"/>
        <v>0</v>
      </c>
      <c r="N207" s="825">
        <f t="shared" si="41"/>
        <v>0</v>
      </c>
    </row>
    <row r="208" spans="1:14" x14ac:dyDescent="0.2">
      <c r="A208" s="712" t="s">
        <v>652</v>
      </c>
      <c r="B208" s="825">
        <f t="shared" ref="B208:N208" si="42">+B166+B169+B172+B175+B178-B181-B184-B187-B190-B193+B196-B199+B207</f>
        <v>4670</v>
      </c>
      <c r="C208" s="825">
        <f t="shared" si="42"/>
        <v>0</v>
      </c>
      <c r="D208" s="825">
        <f t="shared" si="42"/>
        <v>0</v>
      </c>
      <c r="E208" s="825">
        <f t="shared" si="42"/>
        <v>0</v>
      </c>
      <c r="F208" s="825">
        <f t="shared" si="42"/>
        <v>0</v>
      </c>
      <c r="G208" s="825">
        <f t="shared" si="42"/>
        <v>0</v>
      </c>
      <c r="H208" s="825">
        <f t="shared" si="42"/>
        <v>0</v>
      </c>
      <c r="I208" s="825">
        <f t="shared" si="42"/>
        <v>0</v>
      </c>
      <c r="J208" s="825">
        <f t="shared" si="42"/>
        <v>0</v>
      </c>
      <c r="K208" s="825">
        <f t="shared" si="42"/>
        <v>138056</v>
      </c>
      <c r="L208" s="825">
        <f t="shared" si="42"/>
        <v>138056</v>
      </c>
      <c r="M208" s="825">
        <f t="shared" si="42"/>
        <v>0</v>
      </c>
      <c r="N208" s="825">
        <f t="shared" si="42"/>
        <v>0</v>
      </c>
    </row>
    <row r="209" spans="1:20" x14ac:dyDescent="0.2">
      <c r="A209" s="535" t="s">
        <v>653</v>
      </c>
      <c r="B209" s="609">
        <f>-ER!B39</f>
        <v>7100</v>
      </c>
      <c r="C209" s="609">
        <f>-ER!C39</f>
        <v>7100</v>
      </c>
      <c r="D209" s="609">
        <f>-ER!D39</f>
        <v>7100</v>
      </c>
      <c r="E209" s="609">
        <f>-ER!E39</f>
        <v>7100</v>
      </c>
      <c r="F209" s="609">
        <f>-ER!F39</f>
        <v>7100</v>
      </c>
      <c r="G209" s="609">
        <f>-ER!G39</f>
        <v>7100</v>
      </c>
      <c r="H209" s="609">
        <f>-ER!H39</f>
        <v>7100</v>
      </c>
      <c r="I209" s="609">
        <f>-ER!I39</f>
        <v>7100</v>
      </c>
      <c r="J209" s="609">
        <f>-ER!J39</f>
        <v>7100</v>
      </c>
      <c r="K209" s="609">
        <f>-ER!K39</f>
        <v>7100</v>
      </c>
      <c r="L209" s="609">
        <f>-ER!L39</f>
        <v>7100</v>
      </c>
      <c r="M209" s="709"/>
      <c r="N209" s="709"/>
    </row>
    <row r="210" spans="1:20" x14ac:dyDescent="0.2">
      <c r="A210" s="535" t="s">
        <v>654</v>
      </c>
      <c r="B210" s="609"/>
      <c r="C210" s="609"/>
      <c r="D210" s="816"/>
      <c r="E210" s="816"/>
      <c r="F210" s="609"/>
      <c r="G210" s="609"/>
      <c r="H210" s="689"/>
      <c r="I210" s="689"/>
      <c r="J210" s="689"/>
      <c r="K210" s="568">
        <v>89</v>
      </c>
      <c r="L210" s="689">
        <v>89</v>
      </c>
      <c r="M210" s="709"/>
      <c r="N210" s="709"/>
    </row>
    <row r="211" spans="1:20" x14ac:dyDescent="0.2">
      <c r="A211" s="562" t="s">
        <v>655</v>
      </c>
      <c r="B211" s="717">
        <f t="shared" ref="B211:N211" si="43">SUM(B209:B210)</f>
        <v>7100</v>
      </c>
      <c r="C211" s="717">
        <f t="shared" si="43"/>
        <v>7100</v>
      </c>
      <c r="D211" s="717">
        <f t="shared" si="43"/>
        <v>7100</v>
      </c>
      <c r="E211" s="717">
        <f t="shared" si="43"/>
        <v>7100</v>
      </c>
      <c r="F211" s="717">
        <f t="shared" si="43"/>
        <v>7100</v>
      </c>
      <c r="G211" s="717">
        <f t="shared" si="43"/>
        <v>7100</v>
      </c>
      <c r="H211" s="717">
        <f t="shared" si="43"/>
        <v>7100</v>
      </c>
      <c r="I211" s="717">
        <f t="shared" si="43"/>
        <v>7100</v>
      </c>
      <c r="J211" s="717">
        <f t="shared" si="43"/>
        <v>7100</v>
      </c>
      <c r="K211" s="717">
        <f t="shared" si="43"/>
        <v>7189</v>
      </c>
      <c r="L211" s="717">
        <f t="shared" si="43"/>
        <v>7189</v>
      </c>
      <c r="M211" s="717">
        <f t="shared" si="43"/>
        <v>0</v>
      </c>
      <c r="N211" s="717">
        <f t="shared" si="43"/>
        <v>0</v>
      </c>
    </row>
    <row r="212" spans="1:20" x14ac:dyDescent="0.2">
      <c r="A212" s="535" t="s">
        <v>656</v>
      </c>
      <c r="B212" s="817">
        <f>+ER!B42</f>
        <v>4100</v>
      </c>
      <c r="C212" s="817"/>
      <c r="D212" s="818">
        <v>51724.130000000005</v>
      </c>
      <c r="E212" s="818">
        <v>101521.28666666665</v>
      </c>
      <c r="F212" s="817">
        <v>0</v>
      </c>
      <c r="G212" s="609">
        <v>232</v>
      </c>
      <c r="H212" s="689">
        <v>29323.11</v>
      </c>
      <c r="I212" s="689"/>
      <c r="J212" s="689"/>
      <c r="K212" s="568">
        <v>900</v>
      </c>
      <c r="L212" s="689">
        <v>900</v>
      </c>
      <c r="M212" s="709"/>
      <c r="N212" s="709"/>
    </row>
    <row r="213" spans="1:20" x14ac:dyDescent="0.2">
      <c r="A213" s="535" t="s">
        <v>657</v>
      </c>
      <c r="B213" s="609"/>
      <c r="C213" s="609"/>
      <c r="D213" s="816"/>
      <c r="E213" s="816"/>
      <c r="F213" s="609"/>
      <c r="G213" s="609"/>
      <c r="H213" s="689"/>
      <c r="I213" s="689"/>
      <c r="J213" s="689"/>
      <c r="K213" s="568">
        <v>789</v>
      </c>
      <c r="L213" s="689">
        <v>789</v>
      </c>
      <c r="M213" s="709"/>
      <c r="N213" s="709"/>
    </row>
    <row r="214" spans="1:20" x14ac:dyDescent="0.2">
      <c r="A214" s="562" t="s">
        <v>658</v>
      </c>
      <c r="B214" s="717">
        <f t="shared" ref="B214:N214" si="44">SUM(B212:B213)</f>
        <v>4100</v>
      </c>
      <c r="C214" s="717">
        <f t="shared" si="44"/>
        <v>0</v>
      </c>
      <c r="D214" s="717">
        <f t="shared" si="44"/>
        <v>51724.130000000005</v>
      </c>
      <c r="E214" s="717">
        <f t="shared" si="44"/>
        <v>101521.28666666665</v>
      </c>
      <c r="F214" s="717">
        <f t="shared" si="44"/>
        <v>0</v>
      </c>
      <c r="G214" s="717">
        <f t="shared" si="44"/>
        <v>232</v>
      </c>
      <c r="H214" s="717">
        <f t="shared" si="44"/>
        <v>29323.11</v>
      </c>
      <c r="I214" s="717">
        <f t="shared" si="44"/>
        <v>0</v>
      </c>
      <c r="J214" s="717">
        <f t="shared" si="44"/>
        <v>0</v>
      </c>
      <c r="K214" s="717">
        <f t="shared" si="44"/>
        <v>1689</v>
      </c>
      <c r="L214" s="717">
        <f t="shared" si="44"/>
        <v>1689</v>
      </c>
      <c r="M214" s="717">
        <f t="shared" si="44"/>
        <v>0</v>
      </c>
      <c r="N214" s="717">
        <f t="shared" si="44"/>
        <v>0</v>
      </c>
    </row>
    <row r="215" spans="1:20" ht="22.5" x14ac:dyDescent="0.2">
      <c r="A215" s="535" t="s">
        <v>108</v>
      </c>
      <c r="B215" s="535"/>
      <c r="C215" s="535"/>
      <c r="D215" s="687"/>
      <c r="E215" s="687"/>
      <c r="F215" s="535"/>
      <c r="G215" s="535"/>
      <c r="H215" s="568"/>
      <c r="I215" s="568"/>
      <c r="J215" s="568"/>
      <c r="K215" s="568">
        <v>456</v>
      </c>
      <c r="L215" s="568">
        <v>456</v>
      </c>
      <c r="M215" s="685"/>
      <c r="N215" s="685"/>
    </row>
    <row r="216" spans="1:20" ht="22.5" x14ac:dyDescent="0.2">
      <c r="A216" s="535" t="s">
        <v>109</v>
      </c>
      <c r="B216" s="535"/>
      <c r="C216" s="535"/>
      <c r="D216" s="687"/>
      <c r="E216" s="687"/>
      <c r="F216" s="535"/>
      <c r="G216" s="535"/>
      <c r="H216" s="568"/>
      <c r="I216" s="568"/>
      <c r="J216" s="568"/>
      <c r="K216" s="568">
        <v>654</v>
      </c>
      <c r="L216" s="568">
        <v>654</v>
      </c>
      <c r="M216" s="568"/>
      <c r="N216" s="568"/>
    </row>
    <row r="217" spans="1:20" x14ac:dyDescent="0.2">
      <c r="A217" s="562" t="s">
        <v>659</v>
      </c>
      <c r="B217" s="717">
        <f t="shared" ref="B217" si="45">+IF((B162-B163+B208-B211+B214+B215-B216)&gt;0,B162-B163+B208-B211+B214+B215-B216,0)</f>
        <v>653670</v>
      </c>
      <c r="C217" s="717">
        <f t="shared" ref="C217" si="46">+IF((C162-C163+C208-C211+C214+C215-C216)&gt;0,C162-C163+C208-C211+C214+C215-C216,0)</f>
        <v>0</v>
      </c>
      <c r="D217" s="717">
        <f t="shared" ref="D217" si="47">+IF((D162-D163+D208-D211+D214+D215-D216)&gt;0,D162-D163+D208-D211+D214+D215-D216,0)</f>
        <v>0</v>
      </c>
      <c r="E217" s="717">
        <f t="shared" ref="E217" si="48">+IF((E162-E163+E208-E211+E214+E215-E216)&gt;0,E162-E163+E208-E211+E214+E215-E216,0)</f>
        <v>0</v>
      </c>
      <c r="F217" s="717">
        <f t="shared" ref="F217" si="49">+IF((F162-F163+F208-F211+F214+F215-F216)&gt;0,F162-F163+F208-F211+F214+F215-F216,0)</f>
        <v>40991.643499999773</v>
      </c>
      <c r="G217" s="717">
        <f t="shared" ref="G217" si="50">+IF((G162-G163+G208-G211+G214+G215-G216)&gt;0,G162-G163+G208-G211+G214+G215-G216,0)</f>
        <v>458094.88</v>
      </c>
      <c r="H217" s="717">
        <f t="shared" ref="H217" si="51">+IF((H162-H163+H208-H211+H214+H215-H216)&gt;0,H162-H163+H208-H211+H214+H215-H216,0)</f>
        <v>815890.98</v>
      </c>
      <c r="I217" s="717">
        <f t="shared" ref="I217" si="52">+IF((I162-I163+I208-I211+I214+I215-I216)&gt;0,I162-I163+I208-I211+I214+I215-I216,0)</f>
        <v>0</v>
      </c>
      <c r="J217" s="717">
        <f t="shared" ref="J217" si="53">+IF((J162-J163+J208-J211+J214+J215-J216)&gt;0,J162-J163+J208-J211+J214+J215-J216,0)</f>
        <v>0</v>
      </c>
      <c r="K217" s="717">
        <f t="shared" ref="K217" si="54">+IF((K162-K163+K208-K211+K214+K215-K216)&gt;0,K162-K163+K208-K211+K214+K215-K216,0)</f>
        <v>832792</v>
      </c>
      <c r="L217" s="717">
        <f t="shared" ref="L217" si="55">+IF((L162-L163+L208-L211+L214+L215-L216)&gt;0,L162-L163+L208-L211+L214+L215-L216,0)</f>
        <v>832792</v>
      </c>
      <c r="M217" s="717">
        <f t="shared" ref="M217" si="56">+IF((M162-M163+M208-M211+M214+M215-M216)&gt;0,M162-M163+M208-M211+M214+M215-M216,0)</f>
        <v>0</v>
      </c>
      <c r="N217" s="717">
        <f t="shared" ref="N217" si="57">+IF((N162-N163+N208-N211+N214+N215-N216)&gt;0,N162-N163+N208-N211+N214+N215-N216,0)</f>
        <v>0</v>
      </c>
    </row>
    <row r="218" spans="1:20" x14ac:dyDescent="0.2">
      <c r="A218" s="562" t="s">
        <v>660</v>
      </c>
      <c r="B218" s="717">
        <f t="shared" ref="B218:N218" si="58">-IF((B162-B163+B208-B211+B214+B215-B216)&gt;0,0,B162-B163+B208-B211+B214+B215-B216)</f>
        <v>0</v>
      </c>
      <c r="C218" s="717">
        <f t="shared" si="58"/>
        <v>2712392.5199999958</v>
      </c>
      <c r="D218" s="717">
        <f t="shared" si="58"/>
        <v>2924736.59</v>
      </c>
      <c r="E218" s="717">
        <f t="shared" si="58"/>
        <v>157756.71333333335</v>
      </c>
      <c r="F218" s="717">
        <f t="shared" si="58"/>
        <v>0</v>
      </c>
      <c r="G218" s="717">
        <f t="shared" si="58"/>
        <v>0</v>
      </c>
      <c r="H218" s="717">
        <f t="shared" si="58"/>
        <v>0</v>
      </c>
      <c r="I218" s="717">
        <f t="shared" si="58"/>
        <v>7100</v>
      </c>
      <c r="J218" s="717">
        <f t="shared" si="58"/>
        <v>7100</v>
      </c>
      <c r="K218" s="717">
        <f t="shared" si="58"/>
        <v>0</v>
      </c>
      <c r="L218" s="717">
        <f t="shared" si="58"/>
        <v>0</v>
      </c>
      <c r="M218" s="717">
        <f t="shared" si="58"/>
        <v>0</v>
      </c>
      <c r="N218" s="717">
        <f t="shared" si="58"/>
        <v>0</v>
      </c>
    </row>
    <row r="219" spans="1:20" x14ac:dyDescent="0.2">
      <c r="A219" s="535" t="s">
        <v>661</v>
      </c>
      <c r="B219" s="700">
        <f>+ER!B46</f>
        <v>226860</v>
      </c>
      <c r="C219" s="567">
        <v>45426</v>
      </c>
      <c r="D219" s="687"/>
      <c r="E219" s="692">
        <v>26324</v>
      </c>
      <c r="F219" s="568"/>
      <c r="G219" s="568">
        <v>9570</v>
      </c>
      <c r="H219" s="568">
        <v>90942</v>
      </c>
      <c r="I219" s="568"/>
      <c r="J219" s="568"/>
      <c r="K219" s="568">
        <v>44567</v>
      </c>
      <c r="L219" s="568">
        <v>44567</v>
      </c>
      <c r="M219" s="812"/>
      <c r="N219" s="812"/>
    </row>
    <row r="220" spans="1:20" x14ac:dyDescent="0.2">
      <c r="A220" s="535" t="s">
        <v>662</v>
      </c>
      <c r="B220" s="1058"/>
      <c r="C220" s="1058"/>
      <c r="D220" s="1059"/>
      <c r="E220" s="1059"/>
      <c r="F220" s="535"/>
      <c r="G220" s="535"/>
      <c r="H220" s="568"/>
      <c r="I220" s="568"/>
      <c r="J220" s="568"/>
      <c r="K220" s="568">
        <v>7665</v>
      </c>
      <c r="L220" s="568">
        <v>7665</v>
      </c>
      <c r="M220" s="810"/>
      <c r="N220" s="810"/>
    </row>
    <row r="221" spans="1:20" ht="10.5" customHeight="1" x14ac:dyDescent="0.2">
      <c r="A221" s="535" t="s">
        <v>663</v>
      </c>
      <c r="B221" s="1058"/>
      <c r="C221" s="1058"/>
      <c r="D221" s="1059"/>
      <c r="E221" s="1060"/>
      <c r="F221" s="694"/>
      <c r="G221" s="694"/>
      <c r="H221" s="694"/>
      <c r="I221" s="694"/>
      <c r="J221" s="694"/>
      <c r="K221" s="694"/>
      <c r="L221" s="694"/>
      <c r="M221" s="810"/>
      <c r="N221" s="810"/>
    </row>
    <row r="222" spans="1:20" x14ac:dyDescent="0.2">
      <c r="A222" s="535" t="s">
        <v>1004</v>
      </c>
      <c r="B222" s="700">
        <f>-ER!B40</f>
        <v>58169</v>
      </c>
      <c r="C222" s="567">
        <v>29626</v>
      </c>
      <c r="D222" s="687"/>
      <c r="E222" s="692">
        <v>19508</v>
      </c>
      <c r="F222" s="535"/>
      <c r="G222" s="535"/>
      <c r="H222" s="568"/>
      <c r="I222" s="568"/>
      <c r="J222" s="568"/>
      <c r="K222" s="568">
        <v>67888</v>
      </c>
      <c r="L222" s="568">
        <v>67888</v>
      </c>
      <c r="M222" s="814"/>
      <c r="N222" s="814"/>
      <c r="T222" s="702"/>
    </row>
    <row r="223" spans="1:20" x14ac:dyDescent="0.2">
      <c r="A223" s="535" t="s">
        <v>175</v>
      </c>
      <c r="B223" s="535"/>
      <c r="C223" s="535"/>
      <c r="D223" s="687"/>
      <c r="E223" s="687"/>
      <c r="F223" s="535"/>
      <c r="G223" s="535"/>
      <c r="H223" s="568"/>
      <c r="I223" s="568"/>
      <c r="J223" s="568"/>
      <c r="K223" s="568">
        <v>7889</v>
      </c>
      <c r="L223" s="568">
        <v>7889</v>
      </c>
      <c r="M223" s="812"/>
      <c r="N223" s="812"/>
    </row>
    <row r="224" spans="1:20" x14ac:dyDescent="0.2">
      <c r="A224" s="535" t="s">
        <v>136</v>
      </c>
      <c r="B224" s="535"/>
      <c r="C224" s="535"/>
      <c r="D224" s="687"/>
      <c r="E224" s="687"/>
      <c r="F224" s="535"/>
      <c r="G224" s="535"/>
      <c r="H224" s="568"/>
      <c r="I224" s="568"/>
      <c r="J224" s="568"/>
      <c r="K224" s="568"/>
      <c r="L224" s="568"/>
      <c r="M224" s="814"/>
      <c r="N224" s="814"/>
    </row>
    <row r="225" spans="1:14" ht="22.5" x14ac:dyDescent="0.2">
      <c r="A225" s="535" t="s">
        <v>110</v>
      </c>
      <c r="B225" s="1058"/>
      <c r="C225" s="1058"/>
      <c r="D225" s="1059"/>
      <c r="E225" s="1061"/>
      <c r="F225" s="809"/>
      <c r="G225" s="809"/>
      <c r="H225" s="809"/>
      <c r="I225" s="809"/>
      <c r="J225" s="809"/>
      <c r="K225" s="809"/>
      <c r="L225" s="809"/>
      <c r="M225" s="813"/>
      <c r="N225" s="813"/>
    </row>
    <row r="226" spans="1:14" ht="22.5" x14ac:dyDescent="0.2">
      <c r="A226" s="555" t="s">
        <v>664</v>
      </c>
      <c r="B226" s="1062"/>
      <c r="C226" s="1062"/>
      <c r="D226" s="1063"/>
      <c r="E226" s="1063"/>
      <c r="F226" s="555"/>
      <c r="G226" s="555"/>
      <c r="H226" s="568"/>
      <c r="I226" s="568"/>
      <c r="J226" s="568"/>
      <c r="K226" s="568">
        <v>67</v>
      </c>
      <c r="L226" s="568">
        <v>67</v>
      </c>
      <c r="M226" s="812"/>
      <c r="N226" s="812"/>
    </row>
    <row r="227" spans="1:14" ht="22.5" x14ac:dyDescent="0.2">
      <c r="A227" s="555" t="s">
        <v>665</v>
      </c>
      <c r="B227" s="1062"/>
      <c r="C227" s="1062"/>
      <c r="D227" s="1063"/>
      <c r="E227" s="1063"/>
      <c r="F227" s="555"/>
      <c r="G227" s="555"/>
      <c r="H227" s="568"/>
      <c r="I227" s="568"/>
      <c r="J227" s="568"/>
      <c r="K227" s="568"/>
      <c r="L227" s="568"/>
      <c r="M227" s="810"/>
      <c r="N227" s="810"/>
    </row>
    <row r="228" spans="1:14" s="1071" customFormat="1" x14ac:dyDescent="0.2">
      <c r="A228" s="540" t="s">
        <v>111</v>
      </c>
      <c r="B228" s="1065"/>
      <c r="C228" s="1065"/>
      <c r="D228" s="1066"/>
      <c r="E228" s="1067"/>
      <c r="F228" s="1068"/>
      <c r="G228" s="1068"/>
      <c r="H228" s="1068"/>
      <c r="I228" s="1068"/>
      <c r="J228" s="1068"/>
      <c r="K228" s="1069"/>
      <c r="L228" s="1068"/>
      <c r="M228" s="1070"/>
      <c r="N228" s="1070"/>
    </row>
    <row r="229" spans="1:14" s="698" customFormat="1" x14ac:dyDescent="0.2">
      <c r="A229" s="650" t="s">
        <v>666</v>
      </c>
      <c r="B229" s="1064">
        <f>-IF(-B217+B218+B219+B220+B221+B222+-B223+B224-B226+B227&gt;0,0,-B217+B218+B219+B220+B221+B222+-B223+B224-B226+B227)</f>
        <v>368641</v>
      </c>
      <c r="C229" s="1064">
        <f>-IF(-C217+C218+C219+C220+C221+C222+-C223+C224-C226+C227&gt;0,0,-C217+C218+C219+C220+C221+C222+-C223+C224-C226+C227)</f>
        <v>0</v>
      </c>
      <c r="D229" s="1064">
        <f>-IF(-D217+D218+D219+D220+D221+D222+-D223+D224-D226+D227&gt;0,0,-D217+D218+D219+D220+D221+D222+-D223+D224-D226+D227)</f>
        <v>0</v>
      </c>
      <c r="E229" s="1064">
        <f>-IF(-E217+E218+E219+E220+E221+E222+-E223+E224-E226+E227&gt;0,0,-E217+E218+E219+E220+E221+E222+-E223+E224-E226+E227)</f>
        <v>0</v>
      </c>
      <c r="F229" s="1064">
        <f>-IF(-F217+F218+F219+F220+F221+F222+-F223+F224-F226+F227&gt;0,0,-F217+F218+F219+F220+F221+F222+-F223+F224-F226+F227)</f>
        <v>40991.643499999773</v>
      </c>
      <c r="G229" s="1064">
        <f>-IF(-G217+G218+G219+G220+G221+G222+-G223+G224-G226+G227&gt;0,0,-G217+G218+G219+G220+G221+G222+-G223+G224-G226+G227)</f>
        <v>448524.88</v>
      </c>
      <c r="H229" s="1064">
        <f>-IF(-H217+H218+H219+H220+H221+H222+-H223+H224-H226+H227&gt;0,0,-H217+H218+H219+H220+H221+H222+-H223+H224-H226+H227)</f>
        <v>724948.98</v>
      </c>
      <c r="I229" s="1064">
        <f>-IF(-I217+I218+I219+I220+I221+I222+-I223+I224-I226+I227&gt;0,0,-I217+I218+I219+I220+I221+I222+-I223+I224-I226+I227)</f>
        <v>0</v>
      </c>
      <c r="J229" s="1064">
        <f>-IF(-J217+J218+J219+J220+J221+J222+-J223+J224-J226+J227&gt;0,0,-J217+J218+J219+J220+J221+J222+-J223+J224-J226+J227)</f>
        <v>0</v>
      </c>
      <c r="K229" s="1064">
        <f>-IF(-K217+K218+K219+K220+K221+K222+-K223+K224-K226+K227&gt;0,0,-K217+K218+K219+K220+K221+K222+-K223+K224-K226+K227)</f>
        <v>720628</v>
      </c>
      <c r="L229" s="1064">
        <f>-IF(-L217+L218+L219+L220+L221+L222+-L223+L224-L226+L227&gt;0,0,-L217+L218+L219+L220+L221+L222+-L223+L224-L226+L227)</f>
        <v>720628</v>
      </c>
      <c r="M229" s="1064">
        <f>-IF(-M217+M218+M219+M220+M221+M222+-M223+M224-M226+M227&gt;0,0,-M217+M218+M219+M220+M221+M222+-M223+M224-M226+M227)</f>
        <v>0</v>
      </c>
      <c r="N229" s="1064">
        <f>-IF(-N217+N218+N219+N220+N221+N222+-N223+N224-N226+N227&gt;0,0,-N217+N218+N219+N220+N221+N222+-N223+N224-N226+N227)</f>
        <v>0</v>
      </c>
    </row>
    <row r="230" spans="1:14" s="698" customFormat="1" x14ac:dyDescent="0.2">
      <c r="A230" s="650" t="s">
        <v>667</v>
      </c>
      <c r="B230" s="1064">
        <f>+IF(-B217+B218+B219+B220+B221+B222+-B223+B224-B226+B227&lt;0,0,-B217+B218+B219+B220+B221+B222+-B223+B224-B226+B227)</f>
        <v>0</v>
      </c>
      <c r="C230" s="1064">
        <f>+IF(-C217+C218+C219+C220+C221+C222+-C223+C224-C226+C227&lt;0,0,-C217+C218+C219+C220+C221+C222+-C223+C224-C226+C227)</f>
        <v>2787444.5199999958</v>
      </c>
      <c r="D230" s="1064">
        <f>+IF(-D217+D218+D219+D220+D221+D222+-D223+D224-D226+D227&lt;0,0,-D217+D218+D219+D220+D221+D222+-D223+D224-D226+D227)</f>
        <v>2924736.59</v>
      </c>
      <c r="E230" s="1064">
        <f>+IF(-E217+E218+E219+E220+E221+E222+-E223+E224-E226+E227&lt;0,0,-E217+E218+E219+E220+E221+E222+-E223+E224-E226+E227)</f>
        <v>203588.71333333335</v>
      </c>
      <c r="F230" s="1064">
        <f>+IF(-F217+F218+F219+F220+F221+F222+-F223+F224-F226+F227&lt;0,0,-F217+F218+F219+F220+F221+F222+-F223+F224-F226+F227)</f>
        <v>0</v>
      </c>
      <c r="G230" s="1064">
        <f>+IF(-G217+G218+G219+G220+G221+G222+-G223+G224-G226+G227&lt;0,0,-G217+G218+G219+G220+G221+G222+-G223+G224-G226+G227)</f>
        <v>0</v>
      </c>
      <c r="H230" s="1064">
        <f>+IF(-H217+H218+H219+H220+H221+H222+-H223+H224-H226+H227&lt;0,0,-H217+H218+H219+H220+H221+H222+-H223+H224-H226+H227)</f>
        <v>0</v>
      </c>
      <c r="I230" s="1064">
        <f>+IF(-I217+I218+I219+I220+I221+I222+-I223+I224-I226+I227&lt;0,0,-I217+I218+I219+I220+I221+I222+-I223+I224-I226+I227)</f>
        <v>7100</v>
      </c>
      <c r="J230" s="1064">
        <f>+IF(-J217+J218+J219+J220+J221+J222+-J223+J224-J226+J227&lt;0,0,-J217+J218+J219+J220+J221+J222+-J223+J224-J226+J227)</f>
        <v>7100</v>
      </c>
      <c r="K230" s="1064">
        <f>+IF(-K217+K218+K219+K220+K221+K222+-K223+K224-K226+K227&lt;0,0,-K217+K218+K219+K220+K221+K222+-K223+K224-K226+K227)</f>
        <v>0</v>
      </c>
      <c r="L230" s="1064">
        <f>+IF(-L217+L218+L219+L220+L221+L222+-L223+L224-L226+L227&lt;0,0,-L217+L218+L219+L220+L221+L222+-L223+L224-L226+L227)</f>
        <v>0</v>
      </c>
      <c r="M230" s="1064">
        <f>+IF(-M217+M218+M219+M220+M221+M222+-M223+M224-M226+M227&lt;0,0,-M217+M218+M219+M220+M221+M222+-M223+M224-M226+M227)</f>
        <v>0</v>
      </c>
      <c r="N230" s="1064">
        <f>+IF(-N217+N218+N219+N220+N221+N222+-N223+N224-N226+N227&lt;0,0,-N217+N218+N219+N220+N221+N222+-N223+N224-N226+N227)</f>
        <v>0</v>
      </c>
    </row>
    <row r="231" spans="1:14" hidden="1" x14ac:dyDescent="0.2">
      <c r="A231" s="734"/>
      <c r="B231" s="734"/>
      <c r="C231" s="734"/>
      <c r="D231" s="592"/>
      <c r="E231" s="592"/>
      <c r="F231" s="808">
        <v>324825.51649999595</v>
      </c>
      <c r="G231" s="734"/>
      <c r="H231" s="734"/>
      <c r="I231" s="734"/>
      <c r="J231" s="734"/>
      <c r="K231" s="734"/>
      <c r="L231" s="734"/>
      <c r="M231" s="807"/>
      <c r="N231" s="807"/>
    </row>
    <row r="232" spans="1:14" hidden="1" x14ac:dyDescent="0.2">
      <c r="A232" s="677"/>
      <c r="B232" s="677"/>
      <c r="C232" s="677"/>
      <c r="D232" s="766"/>
      <c r="E232" s="766"/>
      <c r="F232" s="806">
        <v>0.22000000410480425</v>
      </c>
      <c r="L232" s="733">
        <v>2007</v>
      </c>
      <c r="M232" s="733">
        <v>2006</v>
      </c>
      <c r="N232" s="733">
        <v>2005</v>
      </c>
    </row>
    <row r="233" spans="1:14" hidden="1" x14ac:dyDescent="0.2">
      <c r="A233" s="734"/>
      <c r="B233" s="734"/>
      <c r="C233" s="734"/>
      <c r="D233" s="805">
        <v>2015</v>
      </c>
      <c r="E233" s="805"/>
      <c r="F233" s="733" t="s">
        <v>963</v>
      </c>
      <c r="G233" s="733" t="s">
        <v>962</v>
      </c>
      <c r="H233" s="733" t="s">
        <v>961</v>
      </c>
      <c r="I233" s="733">
        <v>2010</v>
      </c>
      <c r="J233" s="733">
        <v>2009</v>
      </c>
      <c r="K233" s="733">
        <v>2008</v>
      </c>
      <c r="L233" s="733">
        <v>2007</v>
      </c>
      <c r="M233" s="733">
        <v>2006</v>
      </c>
      <c r="N233" s="733">
        <v>2005</v>
      </c>
    </row>
    <row r="234" spans="1:14" ht="22.5" hidden="1" x14ac:dyDescent="0.2">
      <c r="A234" s="674" t="s">
        <v>675</v>
      </c>
      <c r="B234" s="674"/>
      <c r="C234" s="674"/>
      <c r="D234" s="804"/>
      <c r="E234" s="804"/>
      <c r="F234" s="588" t="s">
        <v>560</v>
      </c>
      <c r="G234" s="588" t="s">
        <v>560</v>
      </c>
      <c r="H234" s="588" t="s">
        <v>560</v>
      </c>
      <c r="I234" s="588"/>
      <c r="J234" s="588" t="s">
        <v>560</v>
      </c>
      <c r="K234" s="588" t="s">
        <v>560</v>
      </c>
      <c r="L234" s="803" t="s">
        <v>560</v>
      </c>
      <c r="M234" s="803" t="s">
        <v>560</v>
      </c>
      <c r="N234" s="803" t="s">
        <v>560</v>
      </c>
    </row>
    <row r="235" spans="1:14" hidden="1" x14ac:dyDescent="0.2">
      <c r="A235" s="801" t="s">
        <v>676</v>
      </c>
      <c r="B235" s="801"/>
      <c r="C235" s="801"/>
      <c r="D235" s="802"/>
      <c r="E235" s="802"/>
      <c r="F235" s="801"/>
      <c r="G235" s="801"/>
      <c r="H235" s="801"/>
      <c r="I235" s="801"/>
      <c r="J235" s="801"/>
      <c r="K235" s="801"/>
      <c r="L235" s="801"/>
      <c r="M235" s="800"/>
      <c r="N235" s="800"/>
    </row>
    <row r="236" spans="1:14" ht="22.5" hidden="1" x14ac:dyDescent="0.2">
      <c r="A236" s="799" t="s">
        <v>112</v>
      </c>
      <c r="B236" s="799"/>
      <c r="C236" s="799"/>
      <c r="D236" s="798"/>
      <c r="E236" s="798"/>
      <c r="F236" s="797" t="s">
        <v>677</v>
      </c>
      <c r="G236" s="797" t="s">
        <v>677</v>
      </c>
      <c r="H236" s="797" t="s">
        <v>677</v>
      </c>
      <c r="I236" s="797"/>
      <c r="J236" s="797" t="s">
        <v>677</v>
      </c>
      <c r="K236" s="797" t="s">
        <v>677</v>
      </c>
      <c r="L236" s="797" t="s">
        <v>677</v>
      </c>
      <c r="M236" s="797" t="s">
        <v>677</v>
      </c>
      <c r="N236" s="797" t="s">
        <v>556</v>
      </c>
    </row>
    <row r="237" spans="1:14" hidden="1" x14ac:dyDescent="0.2">
      <c r="A237" s="599" t="s">
        <v>113</v>
      </c>
      <c r="B237" s="790"/>
      <c r="C237" s="790"/>
      <c r="D237" s="789"/>
      <c r="E237" s="789"/>
      <c r="F237" s="790"/>
      <c r="G237" s="790"/>
      <c r="H237" s="790"/>
      <c r="I237" s="790"/>
      <c r="J237" s="790"/>
      <c r="K237" s="790"/>
      <c r="L237" s="790"/>
      <c r="M237" s="791"/>
      <c r="N237" s="791"/>
    </row>
    <row r="238" spans="1:14" hidden="1" x14ac:dyDescent="0.2">
      <c r="A238" s="623" t="s">
        <v>114</v>
      </c>
      <c r="B238" s="623"/>
      <c r="C238" s="623"/>
      <c r="D238" s="628"/>
      <c r="E238" s="628"/>
      <c r="F238" s="623"/>
      <c r="G238" s="623"/>
      <c r="H238" s="623"/>
      <c r="I238" s="623"/>
      <c r="J238" s="623"/>
      <c r="K238" s="623"/>
      <c r="L238" s="558"/>
      <c r="M238" s="558"/>
      <c r="N238" s="558"/>
    </row>
    <row r="239" spans="1:14" ht="22.5" hidden="1" x14ac:dyDescent="0.2">
      <c r="A239" s="639" t="s">
        <v>960</v>
      </c>
      <c r="B239" s="639"/>
      <c r="C239" s="639"/>
      <c r="D239" s="640"/>
      <c r="E239" s="640"/>
      <c r="F239" s="639"/>
      <c r="G239" s="639"/>
      <c r="H239" s="639"/>
      <c r="I239" s="639"/>
      <c r="J239" s="639"/>
      <c r="K239" s="639"/>
      <c r="L239" s="535"/>
      <c r="M239" s="535"/>
      <c r="N239" s="535"/>
    </row>
    <row r="240" spans="1:14" hidden="1" x14ac:dyDescent="0.2">
      <c r="A240" s="599" t="s">
        <v>115</v>
      </c>
      <c r="B240" s="790"/>
      <c r="C240" s="790"/>
      <c r="D240" s="789"/>
      <c r="E240" s="789"/>
      <c r="F240" s="790"/>
      <c r="G240" s="790"/>
      <c r="H240" s="790"/>
      <c r="I240" s="790"/>
      <c r="J240" s="790"/>
      <c r="K240" s="790"/>
      <c r="L240" s="790"/>
      <c r="M240" s="791"/>
      <c r="N240" s="791"/>
    </row>
    <row r="241" spans="1:14" ht="22.5" hidden="1" x14ac:dyDescent="0.2">
      <c r="A241" s="623" t="s">
        <v>678</v>
      </c>
      <c r="B241" s="623"/>
      <c r="C241" s="623"/>
      <c r="D241" s="628"/>
      <c r="E241" s="628"/>
      <c r="F241" s="535" t="s">
        <v>679</v>
      </c>
      <c r="G241" s="535" t="s">
        <v>679</v>
      </c>
      <c r="H241" s="535" t="s">
        <v>679</v>
      </c>
      <c r="I241" s="535"/>
      <c r="J241" s="535" t="s">
        <v>679</v>
      </c>
      <c r="K241" s="535" t="s">
        <v>679</v>
      </c>
      <c r="L241" s="535" t="s">
        <v>679</v>
      </c>
      <c r="M241" s="535" t="s">
        <v>680</v>
      </c>
      <c r="N241" s="535" t="s">
        <v>680</v>
      </c>
    </row>
    <row r="242" spans="1:14" hidden="1" x14ac:dyDescent="0.2">
      <c r="A242" s="558" t="s">
        <v>116</v>
      </c>
      <c r="B242" s="558"/>
      <c r="C242" s="558"/>
      <c r="D242" s="642"/>
      <c r="E242" s="642"/>
      <c r="F242" s="558"/>
      <c r="G242" s="558"/>
      <c r="H242" s="568"/>
      <c r="I242" s="568"/>
      <c r="J242" s="568">
        <v>876540</v>
      </c>
      <c r="K242" s="568">
        <v>876540</v>
      </c>
      <c r="L242" s="568">
        <v>876540</v>
      </c>
      <c r="M242" s="535"/>
      <c r="N242" s="535"/>
    </row>
    <row r="243" spans="1:14" ht="22.5" hidden="1" x14ac:dyDescent="0.2">
      <c r="A243" s="795" t="s">
        <v>681</v>
      </c>
      <c r="B243" s="795"/>
      <c r="C243" s="795"/>
      <c r="D243" s="796"/>
      <c r="E243" s="796"/>
      <c r="F243" s="795"/>
      <c r="G243" s="795"/>
      <c r="H243" s="558"/>
      <c r="I243" s="558"/>
      <c r="J243" s="558"/>
      <c r="K243" s="558"/>
      <c r="L243" s="535"/>
      <c r="M243" s="535"/>
      <c r="N243" s="535"/>
    </row>
    <row r="244" spans="1:14" ht="22.5" hidden="1" x14ac:dyDescent="0.2">
      <c r="A244" s="558" t="s">
        <v>117</v>
      </c>
      <c r="B244" s="558"/>
      <c r="C244" s="558"/>
      <c r="D244" s="642"/>
      <c r="E244" s="642"/>
      <c r="F244" s="558"/>
      <c r="G244" s="558"/>
      <c r="H244" s="558"/>
      <c r="I244" s="558"/>
      <c r="J244" s="558"/>
      <c r="K244" s="558"/>
      <c r="L244" s="535"/>
      <c r="M244" s="535"/>
      <c r="N244" s="535"/>
    </row>
    <row r="245" spans="1:14" ht="22.5" hidden="1" x14ac:dyDescent="0.2">
      <c r="A245" s="558" t="s">
        <v>118</v>
      </c>
      <c r="B245" s="558"/>
      <c r="C245" s="558"/>
      <c r="D245" s="642"/>
      <c r="E245" s="642"/>
      <c r="F245" s="558"/>
      <c r="G245" s="558"/>
      <c r="H245" s="558"/>
      <c r="I245" s="558"/>
      <c r="J245" s="558"/>
      <c r="K245" s="558"/>
      <c r="L245" s="535"/>
      <c r="M245" s="535"/>
      <c r="N245" s="535"/>
    </row>
    <row r="246" spans="1:14" ht="22.5" hidden="1" x14ac:dyDescent="0.2">
      <c r="A246" s="558" t="s">
        <v>119</v>
      </c>
      <c r="B246" s="558"/>
      <c r="C246" s="558"/>
      <c r="D246" s="642"/>
      <c r="E246" s="642"/>
      <c r="F246" s="694">
        <v>0</v>
      </c>
      <c r="G246" s="694">
        <v>0</v>
      </c>
      <c r="H246" s="694">
        <v>0</v>
      </c>
      <c r="I246" s="694"/>
      <c r="J246" s="694">
        <v>876540</v>
      </c>
      <c r="K246" s="694">
        <v>876540</v>
      </c>
      <c r="L246" s="694">
        <v>876540</v>
      </c>
      <c r="M246" s="535"/>
      <c r="N246" s="535"/>
    </row>
    <row r="247" spans="1:14" hidden="1" x14ac:dyDescent="0.2">
      <c r="A247" s="558" t="s">
        <v>120</v>
      </c>
      <c r="B247" s="558"/>
      <c r="C247" s="558"/>
      <c r="D247" s="642"/>
      <c r="E247" s="642"/>
      <c r="F247" s="794">
        <v>0.2</v>
      </c>
      <c r="G247" s="794">
        <v>0.2</v>
      </c>
      <c r="H247" s="794">
        <v>0.2</v>
      </c>
      <c r="I247" s="794"/>
      <c r="J247" s="794">
        <v>0.2</v>
      </c>
      <c r="K247" s="794">
        <v>0.2</v>
      </c>
      <c r="L247" s="794">
        <v>0.2</v>
      </c>
      <c r="M247" s="535"/>
      <c r="N247" s="535"/>
    </row>
    <row r="248" spans="1:14" hidden="1" x14ac:dyDescent="0.2">
      <c r="A248" s="558" t="s">
        <v>682</v>
      </c>
      <c r="B248" s="558"/>
      <c r="C248" s="558"/>
      <c r="D248" s="642"/>
      <c r="E248" s="642"/>
      <c r="F248" s="694">
        <v>0</v>
      </c>
      <c r="G248" s="694">
        <v>0</v>
      </c>
      <c r="H248" s="694">
        <v>0</v>
      </c>
      <c r="I248" s="694"/>
      <c r="J248" s="694">
        <v>175308</v>
      </c>
      <c r="K248" s="694">
        <v>175308</v>
      </c>
      <c r="L248" s="694">
        <v>175308</v>
      </c>
      <c r="M248" s="535"/>
      <c r="N248" s="535"/>
    </row>
    <row r="249" spans="1:14" hidden="1" x14ac:dyDescent="0.2">
      <c r="A249" s="558" t="s">
        <v>683</v>
      </c>
      <c r="B249" s="558"/>
      <c r="C249" s="558"/>
      <c r="D249" s="642"/>
      <c r="E249" s="642"/>
      <c r="F249" s="535"/>
      <c r="G249" s="535"/>
      <c r="H249" s="535"/>
      <c r="I249" s="535"/>
      <c r="J249" s="535"/>
      <c r="K249" s="535"/>
      <c r="L249" s="535"/>
      <c r="M249" s="793"/>
      <c r="N249" s="792"/>
    </row>
    <row r="250" spans="1:14" hidden="1" x14ac:dyDescent="0.2">
      <c r="A250" s="558" t="s">
        <v>669</v>
      </c>
      <c r="B250" s="558"/>
      <c r="C250" s="558"/>
      <c r="D250" s="642"/>
      <c r="E250" s="642"/>
      <c r="F250" s="694">
        <v>0</v>
      </c>
      <c r="G250" s="694">
        <v>0</v>
      </c>
      <c r="H250" s="694">
        <v>0</v>
      </c>
      <c r="I250" s="694"/>
      <c r="J250" s="694">
        <v>175308</v>
      </c>
      <c r="K250" s="694">
        <v>175308</v>
      </c>
      <c r="L250" s="694">
        <v>175308</v>
      </c>
      <c r="M250" s="535"/>
      <c r="N250" s="535"/>
    </row>
    <row r="251" spans="1:14" ht="22.5" hidden="1" x14ac:dyDescent="0.2">
      <c r="A251" s="639" t="s">
        <v>684</v>
      </c>
      <c r="B251" s="639"/>
      <c r="C251" s="639"/>
      <c r="D251" s="640"/>
      <c r="E251" s="640"/>
      <c r="F251" s="639"/>
      <c r="G251" s="639"/>
      <c r="H251" s="639"/>
      <c r="I251" s="639"/>
      <c r="J251" s="639"/>
      <c r="K251" s="639"/>
      <c r="L251" s="535"/>
      <c r="M251" s="715"/>
      <c r="N251" s="648"/>
    </row>
    <row r="252" spans="1:14" hidden="1" x14ac:dyDescent="0.2">
      <c r="A252" s="599" t="s">
        <v>121</v>
      </c>
      <c r="B252" s="790"/>
      <c r="C252" s="790"/>
      <c r="D252" s="789"/>
      <c r="E252" s="789"/>
      <c r="F252" s="790"/>
      <c r="G252" s="790"/>
      <c r="H252" s="790"/>
      <c r="I252" s="790"/>
      <c r="J252" s="790"/>
      <c r="K252" s="790"/>
      <c r="L252" s="790"/>
      <c r="M252" s="791"/>
      <c r="N252" s="791"/>
    </row>
    <row r="253" spans="1:14" ht="22.5" hidden="1" x14ac:dyDescent="0.2">
      <c r="A253" s="623" t="s">
        <v>685</v>
      </c>
      <c r="B253" s="623"/>
      <c r="C253" s="623"/>
      <c r="D253" s="628"/>
      <c r="E253" s="628"/>
      <c r="F253" s="535" t="s">
        <v>453</v>
      </c>
      <c r="G253" s="535" t="s">
        <v>453</v>
      </c>
      <c r="H253" s="535" t="s">
        <v>453</v>
      </c>
      <c r="I253" s="535"/>
      <c r="J253" s="535" t="s">
        <v>453</v>
      </c>
      <c r="K253" s="535" t="s">
        <v>453</v>
      </c>
      <c r="L253" s="535" t="s">
        <v>453</v>
      </c>
      <c r="M253" s="535" t="s">
        <v>686</v>
      </c>
      <c r="N253" s="535" t="s">
        <v>453</v>
      </c>
    </row>
    <row r="254" spans="1:14" hidden="1" x14ac:dyDescent="0.2">
      <c r="A254" s="639" t="s">
        <v>687</v>
      </c>
      <c r="B254" s="639"/>
      <c r="C254" s="639"/>
      <c r="D254" s="640"/>
      <c r="E254" s="640"/>
      <c r="F254" s="535" t="s">
        <v>688</v>
      </c>
      <c r="G254" s="535" t="s">
        <v>688</v>
      </c>
      <c r="H254" s="535" t="s">
        <v>688</v>
      </c>
      <c r="I254" s="535"/>
      <c r="J254" s="535" t="s">
        <v>688</v>
      </c>
      <c r="K254" s="535" t="s">
        <v>688</v>
      </c>
      <c r="L254" s="535" t="s">
        <v>688</v>
      </c>
      <c r="M254" s="535" t="s">
        <v>688</v>
      </c>
      <c r="N254" s="535" t="s">
        <v>688</v>
      </c>
    </row>
    <row r="255" spans="1:14" hidden="1" x14ac:dyDescent="0.2">
      <c r="A255" s="599" t="s">
        <v>122</v>
      </c>
      <c r="B255" s="790"/>
      <c r="C255" s="790"/>
      <c r="D255" s="789"/>
      <c r="E255" s="789"/>
      <c r="F255" s="788"/>
      <c r="G255" s="788"/>
      <c r="H255" s="788"/>
      <c r="I255" s="788"/>
      <c r="J255" s="788"/>
      <c r="K255" s="788"/>
      <c r="L255" s="788"/>
      <c r="M255" s="787"/>
      <c r="N255" s="787"/>
    </row>
    <row r="256" spans="1:14" hidden="1" x14ac:dyDescent="0.2">
      <c r="A256" s="623" t="s">
        <v>689</v>
      </c>
      <c r="B256" s="623"/>
      <c r="C256" s="623"/>
      <c r="D256" s="628"/>
      <c r="E256" s="628"/>
      <c r="F256" s="535" t="s">
        <v>679</v>
      </c>
      <c r="G256" s="535" t="s">
        <v>679</v>
      </c>
      <c r="H256" s="535" t="s">
        <v>679</v>
      </c>
      <c r="I256" s="535"/>
      <c r="J256" s="535" t="s">
        <v>679</v>
      </c>
      <c r="K256" s="535" t="s">
        <v>679</v>
      </c>
      <c r="L256" s="535" t="s">
        <v>679</v>
      </c>
      <c r="M256" s="535" t="s">
        <v>680</v>
      </c>
      <c r="N256" s="535" t="s">
        <v>679</v>
      </c>
    </row>
    <row r="257" spans="1:14" ht="22.5" hidden="1" x14ac:dyDescent="0.2">
      <c r="A257" s="650" t="s">
        <v>959</v>
      </c>
      <c r="B257" s="650"/>
      <c r="C257" s="650"/>
      <c r="D257" s="651"/>
      <c r="E257" s="651"/>
      <c r="F257" s="650"/>
      <c r="G257" s="650"/>
      <c r="H257" s="535"/>
      <c r="I257" s="535"/>
      <c r="J257" s="535"/>
      <c r="K257" s="535"/>
      <c r="L257" s="535"/>
      <c r="M257" s="535"/>
      <c r="N257" s="535"/>
    </row>
    <row r="258" spans="1:14" ht="22.5" hidden="1" x14ac:dyDescent="0.2">
      <c r="A258" s="635" t="s">
        <v>690</v>
      </c>
      <c r="B258" s="785"/>
      <c r="C258" s="785"/>
      <c r="D258" s="786"/>
      <c r="E258" s="786"/>
      <c r="F258" s="785"/>
      <c r="G258" s="785"/>
      <c r="H258" s="784"/>
      <c r="I258" s="784"/>
      <c r="J258" s="784"/>
      <c r="K258" s="784"/>
      <c r="L258" s="784"/>
      <c r="M258" s="784"/>
      <c r="N258" s="784"/>
    </row>
    <row r="259" spans="1:14" hidden="1" x14ac:dyDescent="0.2">
      <c r="A259" s="558" t="s">
        <v>691</v>
      </c>
      <c r="B259" s="782"/>
      <c r="C259" s="782"/>
      <c r="D259" s="783"/>
      <c r="E259" s="783"/>
      <c r="F259" s="782"/>
      <c r="G259" s="782"/>
      <c r="H259" s="781"/>
      <c r="I259" s="781"/>
      <c r="J259" s="781"/>
      <c r="K259" s="781"/>
      <c r="L259" s="781"/>
      <c r="M259" s="781"/>
      <c r="N259" s="781"/>
    </row>
    <row r="260" spans="1:14" hidden="1" x14ac:dyDescent="0.2">
      <c r="A260" s="677"/>
      <c r="B260" s="677"/>
      <c r="C260" s="677"/>
      <c r="D260" s="766"/>
      <c r="E260" s="766"/>
      <c r="F260" s="677"/>
      <c r="G260" s="677"/>
      <c r="H260" s="733"/>
      <c r="I260" s="733"/>
      <c r="J260" s="733"/>
      <c r="K260" s="733"/>
      <c r="L260" s="733"/>
      <c r="M260" s="733"/>
      <c r="N260" s="733"/>
    </row>
    <row r="261" spans="1:14" hidden="1" x14ac:dyDescent="0.2">
      <c r="A261" s="780" t="s">
        <v>958</v>
      </c>
      <c r="B261" s="780"/>
      <c r="C261" s="780"/>
      <c r="D261" s="779"/>
      <c r="E261" s="779"/>
      <c r="F261" s="778"/>
      <c r="G261" s="778"/>
      <c r="H261" s="777"/>
      <c r="I261" s="733"/>
      <c r="J261" s="733"/>
      <c r="K261" s="733"/>
      <c r="L261" s="733"/>
      <c r="M261" s="733"/>
      <c r="N261" s="733"/>
    </row>
    <row r="262" spans="1:14" hidden="1" x14ac:dyDescent="0.2">
      <c r="A262" s="677" t="s">
        <v>957</v>
      </c>
      <c r="B262" s="677"/>
      <c r="C262" s="677"/>
      <c r="D262" s="766"/>
      <c r="E262" s="766"/>
      <c r="F262" s="768">
        <v>38332.199999999997</v>
      </c>
      <c r="G262" s="677"/>
      <c r="H262" s="733"/>
      <c r="I262" s="733"/>
      <c r="J262" s="733"/>
      <c r="K262" s="733"/>
      <c r="L262" s="733"/>
      <c r="M262" s="733"/>
      <c r="N262" s="733"/>
    </row>
    <row r="263" spans="1:14" hidden="1" x14ac:dyDescent="0.2">
      <c r="A263" s="677" t="s">
        <v>956</v>
      </c>
      <c r="B263" s="677"/>
      <c r="C263" s="677"/>
      <c r="D263" s="766"/>
      <c r="E263" s="766"/>
      <c r="F263" s="768">
        <v>19546</v>
      </c>
      <c r="G263" s="768">
        <v>16850</v>
      </c>
      <c r="H263" s="733"/>
      <c r="I263" s="733"/>
      <c r="J263" s="733"/>
      <c r="K263" s="733"/>
      <c r="L263" s="733"/>
      <c r="M263" s="733"/>
      <c r="N263" s="733"/>
    </row>
    <row r="264" spans="1:14" hidden="1" x14ac:dyDescent="0.2">
      <c r="A264" s="677" t="s">
        <v>955</v>
      </c>
      <c r="B264" s="677"/>
      <c r="C264" s="677"/>
      <c r="D264" s="766"/>
      <c r="E264" s="766"/>
      <c r="F264" s="776">
        <v>42000</v>
      </c>
      <c r="G264" s="774" t="s">
        <v>954</v>
      </c>
      <c r="H264" s="733"/>
      <c r="I264" s="733"/>
      <c r="J264" s="733"/>
      <c r="K264" s="733"/>
      <c r="L264" s="733"/>
      <c r="M264" s="733"/>
      <c r="N264" s="733"/>
    </row>
    <row r="265" spans="1:14" ht="22.5" hidden="1" x14ac:dyDescent="0.2">
      <c r="A265" s="677" t="s">
        <v>953</v>
      </c>
      <c r="B265" s="677"/>
      <c r="C265" s="677"/>
      <c r="D265" s="766"/>
      <c r="E265" s="766"/>
      <c r="F265" s="768"/>
      <c r="G265" s="774" t="s">
        <v>952</v>
      </c>
      <c r="H265" s="733"/>
      <c r="I265" s="733"/>
      <c r="J265" s="733"/>
      <c r="K265" s="733"/>
      <c r="L265" s="733"/>
      <c r="M265" s="733"/>
      <c r="N265" s="733"/>
    </row>
    <row r="266" spans="1:14" hidden="1" x14ac:dyDescent="0.2">
      <c r="A266" s="677" t="s">
        <v>951</v>
      </c>
      <c r="B266" s="677"/>
      <c r="C266" s="677"/>
      <c r="D266" s="766"/>
      <c r="E266" s="766"/>
      <c r="F266" s="768">
        <v>0</v>
      </c>
      <c r="G266" s="677" t="s">
        <v>267</v>
      </c>
      <c r="H266" s="733" t="s">
        <v>950</v>
      </c>
      <c r="I266" s="733"/>
      <c r="J266" s="733"/>
      <c r="K266" s="733"/>
      <c r="L266" s="733"/>
      <c r="M266" s="733"/>
      <c r="N266" s="733"/>
    </row>
    <row r="267" spans="1:14" hidden="1" x14ac:dyDescent="0.2">
      <c r="A267" s="677" t="s">
        <v>949</v>
      </c>
      <c r="B267" s="677"/>
      <c r="C267" s="677"/>
      <c r="D267" s="766"/>
      <c r="E267" s="766"/>
      <c r="F267" s="768">
        <v>1022654</v>
      </c>
      <c r="G267" s="683">
        <v>6852979.1099999994</v>
      </c>
      <c r="H267" s="775">
        <v>274119.16440000001</v>
      </c>
      <c r="I267" s="733"/>
      <c r="J267" s="733"/>
      <c r="K267" s="733"/>
      <c r="L267" s="733"/>
      <c r="M267" s="733"/>
      <c r="N267" s="733"/>
    </row>
    <row r="268" spans="1:14" hidden="1" x14ac:dyDescent="0.2">
      <c r="A268" s="677"/>
      <c r="B268" s="677"/>
      <c r="C268" s="677"/>
      <c r="D268" s="766"/>
      <c r="E268" s="766"/>
      <c r="F268" s="677"/>
      <c r="G268" s="774" t="s">
        <v>948</v>
      </c>
      <c r="H268" s="773">
        <v>316119.16440000001</v>
      </c>
      <c r="I268" s="733"/>
      <c r="J268" s="733"/>
      <c r="K268" s="733"/>
      <c r="L268" s="733"/>
      <c r="M268" s="733"/>
      <c r="N268" s="733"/>
    </row>
    <row r="269" spans="1:14" hidden="1" x14ac:dyDescent="0.2">
      <c r="A269" s="677" t="s">
        <v>947</v>
      </c>
      <c r="B269" s="677"/>
      <c r="C269" s="677"/>
      <c r="D269" s="766"/>
      <c r="E269" s="766"/>
      <c r="F269" s="772"/>
      <c r="G269" s="768"/>
      <c r="H269" s="767"/>
      <c r="I269" s="733"/>
      <c r="J269" s="733"/>
      <c r="K269" s="733"/>
      <c r="L269" s="733"/>
      <c r="M269" s="733"/>
      <c r="N269" s="733"/>
    </row>
    <row r="270" spans="1:14" hidden="1" x14ac:dyDescent="0.2">
      <c r="A270" s="677" t="s">
        <v>940</v>
      </c>
      <c r="B270" s="677"/>
      <c r="C270" s="677"/>
      <c r="D270" s="766"/>
      <c r="E270" s="766"/>
      <c r="F270" s="768">
        <v>48720</v>
      </c>
      <c r="G270" s="768"/>
      <c r="H270" s="767"/>
      <c r="I270" s="733"/>
      <c r="J270" s="733"/>
      <c r="K270" s="733"/>
      <c r="L270" s="733"/>
      <c r="M270" s="733"/>
      <c r="N270" s="733"/>
    </row>
    <row r="271" spans="1:14" hidden="1" x14ac:dyDescent="0.2">
      <c r="A271" s="677" t="s">
        <v>946</v>
      </c>
      <c r="B271" s="677"/>
      <c r="C271" s="677"/>
      <c r="D271" s="766"/>
      <c r="E271" s="766"/>
      <c r="F271" s="768">
        <v>301925.95999999996</v>
      </c>
      <c r="G271" s="768"/>
      <c r="H271" s="767"/>
      <c r="I271" s="733"/>
      <c r="J271" s="733"/>
      <c r="K271" s="733"/>
      <c r="L271" s="733"/>
      <c r="M271" s="733"/>
      <c r="N271" s="733"/>
    </row>
    <row r="272" spans="1:14" hidden="1" x14ac:dyDescent="0.2">
      <c r="A272" s="677" t="s">
        <v>945</v>
      </c>
      <c r="B272" s="677"/>
      <c r="C272" s="677"/>
      <c r="D272" s="766"/>
      <c r="E272" s="766"/>
      <c r="F272" s="768">
        <v>-50579.040000000001</v>
      </c>
      <c r="G272" s="768"/>
      <c r="H272" s="767"/>
      <c r="I272" s="733"/>
      <c r="J272" s="733"/>
      <c r="K272" s="733"/>
      <c r="L272" s="733"/>
      <c r="M272" s="733"/>
      <c r="N272" s="733"/>
    </row>
    <row r="273" spans="1:24" hidden="1" x14ac:dyDescent="0.2">
      <c r="A273" s="677" t="s">
        <v>944</v>
      </c>
      <c r="B273" s="677"/>
      <c r="C273" s="677"/>
      <c r="D273" s="766"/>
      <c r="E273" s="766"/>
      <c r="F273" s="771">
        <v>-316119</v>
      </c>
      <c r="G273" s="770" t="s">
        <v>943</v>
      </c>
      <c r="H273" s="767"/>
      <c r="I273" s="733"/>
      <c r="J273" s="733"/>
      <c r="K273" s="733"/>
      <c r="L273" s="733"/>
      <c r="M273" s="733"/>
      <c r="N273" s="733"/>
    </row>
    <row r="274" spans="1:24" hidden="1" x14ac:dyDescent="0.2">
      <c r="A274" s="677"/>
      <c r="B274" s="677"/>
      <c r="C274" s="677"/>
      <c r="D274" s="766"/>
      <c r="E274" s="766"/>
      <c r="F274" s="769">
        <v>-16052.080000000016</v>
      </c>
      <c r="G274" s="768"/>
      <c r="H274" s="767"/>
      <c r="I274" s="733"/>
      <c r="J274" s="733"/>
      <c r="K274" s="733"/>
      <c r="L274" s="733"/>
      <c r="M274" s="733"/>
      <c r="N274" s="733"/>
    </row>
    <row r="275" spans="1:24" x14ac:dyDescent="0.2">
      <c r="A275" s="911"/>
      <c r="B275" s="912">
        <f>+ER!B53</f>
        <v>369191</v>
      </c>
      <c r="C275" s="677"/>
      <c r="D275" s="766"/>
      <c r="E275" s="766"/>
      <c r="F275" s="677"/>
      <c r="G275" s="677"/>
      <c r="H275" s="733"/>
      <c r="I275" s="733"/>
      <c r="J275" s="733"/>
      <c r="K275" s="733"/>
      <c r="L275" s="733"/>
      <c r="M275" s="733"/>
      <c r="N275" s="733"/>
    </row>
    <row r="276" spans="1:24" x14ac:dyDescent="0.2">
      <c r="A276" s="677"/>
      <c r="B276" s="733">
        <f>+B121</f>
        <v>2017</v>
      </c>
      <c r="C276" s="733">
        <f>+C121</f>
        <v>2016</v>
      </c>
      <c r="D276" s="733">
        <f>+D121</f>
        <v>2015</v>
      </c>
      <c r="E276" s="733" t="str">
        <f>+E121</f>
        <v>2014 comp</v>
      </c>
      <c r="F276" s="733" t="str">
        <f>+F121</f>
        <v>2013 CXD</v>
      </c>
      <c r="G276" s="733" t="str">
        <f>+G121</f>
        <v>2012 CD</v>
      </c>
      <c r="H276" s="733" t="str">
        <f>+H121</f>
        <v>2011 CD</v>
      </c>
      <c r="I276" s="733">
        <f>+I121</f>
        <v>2010</v>
      </c>
      <c r="J276" s="733">
        <f>+J121</f>
        <v>2009</v>
      </c>
      <c r="K276" s="733">
        <f>+K121</f>
        <v>2008</v>
      </c>
      <c r="L276" s="733">
        <f>+L121</f>
        <v>2007</v>
      </c>
      <c r="M276" s="733">
        <f>+M121</f>
        <v>2006</v>
      </c>
      <c r="N276" s="733">
        <f>+N121</f>
        <v>2005</v>
      </c>
    </row>
    <row r="277" spans="1:24" ht="22.5" x14ac:dyDescent="0.2">
      <c r="A277" s="674" t="s">
        <v>123</v>
      </c>
      <c r="B277" s="588" t="s">
        <v>560</v>
      </c>
      <c r="C277" s="588" t="s">
        <v>560</v>
      </c>
      <c r="D277" s="588" t="s">
        <v>560</v>
      </c>
      <c r="E277" s="588" t="s">
        <v>560</v>
      </c>
      <c r="F277" s="588" t="s">
        <v>560</v>
      </c>
      <c r="G277" s="588" t="s">
        <v>560</v>
      </c>
      <c r="H277" s="588" t="s">
        <v>560</v>
      </c>
      <c r="I277" s="588" t="s">
        <v>560</v>
      </c>
      <c r="J277" s="588" t="s">
        <v>560</v>
      </c>
      <c r="K277" s="588" t="s">
        <v>560</v>
      </c>
      <c r="L277" s="588" t="s">
        <v>560</v>
      </c>
      <c r="M277" s="588" t="s">
        <v>560</v>
      </c>
      <c r="N277" s="588" t="s">
        <v>560</v>
      </c>
    </row>
    <row r="278" spans="1:24" x14ac:dyDescent="0.2">
      <c r="A278" s="562" t="s">
        <v>668</v>
      </c>
      <c r="B278" s="644">
        <f t="shared" ref="B278" si="59">+IF(B229&lt;&gt;0,B229,-B230)</f>
        <v>368641</v>
      </c>
      <c r="C278" s="644">
        <f t="shared" ref="C278:N278" si="60">+IF(C229&lt;&gt;0,C229,-C230)</f>
        <v>-2787444.5199999958</v>
      </c>
      <c r="D278" s="644">
        <f t="shared" si="60"/>
        <v>-2924736.59</v>
      </c>
      <c r="E278" s="644">
        <f t="shared" si="60"/>
        <v>-203588.71333333335</v>
      </c>
      <c r="F278" s="644">
        <f t="shared" si="60"/>
        <v>40991.643499999773</v>
      </c>
      <c r="G278" s="644">
        <f t="shared" si="60"/>
        <v>448524.88</v>
      </c>
      <c r="H278" s="644">
        <f t="shared" si="60"/>
        <v>724948.98</v>
      </c>
      <c r="I278" s="644">
        <f t="shared" si="60"/>
        <v>-7100</v>
      </c>
      <c r="J278" s="644">
        <f t="shared" si="60"/>
        <v>-7100</v>
      </c>
      <c r="K278" s="644">
        <f t="shared" si="60"/>
        <v>720628</v>
      </c>
      <c r="L278" s="644">
        <f t="shared" si="60"/>
        <v>720628</v>
      </c>
      <c r="M278" s="644">
        <f t="shared" si="60"/>
        <v>0</v>
      </c>
      <c r="N278" s="644">
        <f t="shared" si="60"/>
        <v>0</v>
      </c>
    </row>
    <row r="279" spans="1:24" x14ac:dyDescent="0.2">
      <c r="A279" s="535" t="s">
        <v>124</v>
      </c>
      <c r="B279" s="610">
        <f t="shared" ref="B279" si="61">+B226-B227</f>
        <v>0</v>
      </c>
      <c r="C279" s="610">
        <f t="shared" ref="C279:N279" si="62">+C226-C227</f>
        <v>0</v>
      </c>
      <c r="D279" s="610">
        <f t="shared" si="62"/>
        <v>0</v>
      </c>
      <c r="E279" s="610">
        <f t="shared" si="62"/>
        <v>0</v>
      </c>
      <c r="F279" s="610">
        <f t="shared" si="62"/>
        <v>0</v>
      </c>
      <c r="G279" s="610">
        <f t="shared" si="62"/>
        <v>0</v>
      </c>
      <c r="H279" s="610">
        <f t="shared" si="62"/>
        <v>0</v>
      </c>
      <c r="I279" s="610">
        <f t="shared" si="62"/>
        <v>0</v>
      </c>
      <c r="J279" s="610">
        <f t="shared" si="62"/>
        <v>0</v>
      </c>
      <c r="K279" s="610">
        <f t="shared" si="62"/>
        <v>67</v>
      </c>
      <c r="L279" s="610">
        <f t="shared" si="62"/>
        <v>67</v>
      </c>
      <c r="M279" s="610">
        <f t="shared" si="62"/>
        <v>0</v>
      </c>
      <c r="N279" s="610">
        <f t="shared" si="62"/>
        <v>0</v>
      </c>
    </row>
    <row r="280" spans="1:24" x14ac:dyDescent="0.2">
      <c r="A280" s="535" t="s">
        <v>106</v>
      </c>
      <c r="B280" s="610">
        <f>+B196-B199</f>
        <v>0</v>
      </c>
      <c r="C280" s="610">
        <f>+C196-C199</f>
        <v>0</v>
      </c>
      <c r="D280" s="610">
        <f>+D196-D199</f>
        <v>0</v>
      </c>
      <c r="E280" s="610">
        <f>+E196-E199</f>
        <v>0</v>
      </c>
      <c r="F280" s="610">
        <f>+F196-F199</f>
        <v>0</v>
      </c>
      <c r="G280" s="610">
        <f>+G196-G199</f>
        <v>0</v>
      </c>
      <c r="H280" s="610">
        <f>+H196-H199</f>
        <v>0</v>
      </c>
      <c r="I280" s="610">
        <f>+I196-I199</f>
        <v>0</v>
      </c>
      <c r="J280" s="610">
        <f>+J196-J199</f>
        <v>0</v>
      </c>
      <c r="K280" s="610">
        <f>+K196-K199</f>
        <v>1112</v>
      </c>
      <c r="L280" s="610">
        <f>+L196-L199</f>
        <v>1112</v>
      </c>
      <c r="M280" s="610">
        <f>+M196-M199</f>
        <v>0</v>
      </c>
      <c r="N280" s="610">
        <f>+N196-N199</f>
        <v>0</v>
      </c>
      <c r="X280" s="667"/>
    </row>
    <row r="281" spans="1:24" x14ac:dyDescent="0.2">
      <c r="A281" s="562" t="s">
        <v>125</v>
      </c>
      <c r="B281" s="644">
        <f t="shared" ref="B281" si="63">+B278</f>
        <v>368641</v>
      </c>
      <c r="C281" s="644">
        <f t="shared" ref="C281:N281" si="64">+C278</f>
        <v>-2787444.5199999958</v>
      </c>
      <c r="D281" s="644">
        <f t="shared" si="64"/>
        <v>-2924736.59</v>
      </c>
      <c r="E281" s="644">
        <f t="shared" si="64"/>
        <v>-203588.71333333335</v>
      </c>
      <c r="F281" s="644">
        <f t="shared" si="64"/>
        <v>40991.643499999773</v>
      </c>
      <c r="G281" s="644">
        <f t="shared" si="64"/>
        <v>448524.88</v>
      </c>
      <c r="H281" s="644">
        <f t="shared" si="64"/>
        <v>724948.98</v>
      </c>
      <c r="I281" s="644">
        <f t="shared" si="64"/>
        <v>-7100</v>
      </c>
      <c r="J281" s="644">
        <f t="shared" si="64"/>
        <v>-7100</v>
      </c>
      <c r="K281" s="644">
        <f t="shared" si="64"/>
        <v>720628</v>
      </c>
      <c r="L281" s="644">
        <f t="shared" si="64"/>
        <v>720628</v>
      </c>
      <c r="M281" s="644">
        <f t="shared" si="64"/>
        <v>0</v>
      </c>
      <c r="N281" s="644">
        <f t="shared" si="64"/>
        <v>0</v>
      </c>
    </row>
    <row r="282" spans="1:24" x14ac:dyDescent="0.2">
      <c r="A282" s="562" t="s">
        <v>126</v>
      </c>
      <c r="B282" s="644">
        <f t="shared" ref="B282" si="65">SUM(B283:B289)</f>
        <v>197808.93790641337</v>
      </c>
      <c r="C282" s="644">
        <f t="shared" ref="C282:N282" si="66">SUM(C283:C289)</f>
        <v>197808.93790641337</v>
      </c>
      <c r="D282" s="644">
        <f t="shared" si="66"/>
        <v>197808.93790641337</v>
      </c>
      <c r="E282" s="644">
        <f t="shared" si="66"/>
        <v>197808.93790641337</v>
      </c>
      <c r="F282" s="644">
        <f t="shared" si="66"/>
        <v>197808.93790641337</v>
      </c>
      <c r="G282" s="644">
        <f t="shared" si="66"/>
        <v>197808.93790641337</v>
      </c>
      <c r="H282" s="644">
        <f t="shared" si="66"/>
        <v>197808.93790641337</v>
      </c>
      <c r="I282" s="644">
        <f t="shared" si="66"/>
        <v>197808.93790641337</v>
      </c>
      <c r="J282" s="644">
        <f t="shared" si="66"/>
        <v>373116.93790641334</v>
      </c>
      <c r="K282" s="644">
        <f t="shared" si="66"/>
        <v>373116.93790641334</v>
      </c>
      <c r="L282" s="644">
        <f t="shared" si="66"/>
        <v>410761.01542776998</v>
      </c>
      <c r="M282" s="644">
        <f t="shared" si="66"/>
        <v>183321.75188065792</v>
      </c>
      <c r="N282" s="644">
        <f t="shared" si="66"/>
        <v>29000</v>
      </c>
    </row>
    <row r="283" spans="1:24" x14ac:dyDescent="0.2">
      <c r="A283" s="535" t="s">
        <v>127</v>
      </c>
      <c r="B283" s="535"/>
      <c r="C283" s="535"/>
      <c r="D283" s="535"/>
      <c r="E283" s="535"/>
      <c r="F283" s="535"/>
      <c r="G283" s="535"/>
      <c r="H283" s="535"/>
      <c r="I283" s="535"/>
      <c r="J283" s="535"/>
      <c r="K283" s="535"/>
      <c r="L283" s="535"/>
      <c r="M283" s="535"/>
      <c r="N283" s="535"/>
    </row>
    <row r="284" spans="1:24" x14ac:dyDescent="0.2">
      <c r="A284" s="535" t="s">
        <v>441</v>
      </c>
      <c r="B284" s="535">
        <f>+'CCF ISR'!B31</f>
        <v>1000</v>
      </c>
      <c r="C284" s="535">
        <f>+'CCF ISR'!C31</f>
        <v>1000</v>
      </c>
      <c r="D284" s="535">
        <f>+'CCF ISR'!D31</f>
        <v>1000</v>
      </c>
      <c r="E284" s="535">
        <f>+'CCF ISR'!E31</f>
        <v>1000</v>
      </c>
      <c r="F284" s="535">
        <f>+'CCF ISR'!F31</f>
        <v>1000</v>
      </c>
      <c r="G284" s="535">
        <f>+'CCF ISR'!G31</f>
        <v>1000</v>
      </c>
      <c r="H284" s="535">
        <f>+'CCF ISR'!H31</f>
        <v>1000</v>
      </c>
      <c r="I284" s="535">
        <f>+'CCF ISR'!I31</f>
        <v>1000</v>
      </c>
      <c r="J284" s="535">
        <f>+'CCF ISR'!J31</f>
        <v>1000</v>
      </c>
      <c r="K284" s="535">
        <f>+'CCF ISR'!K31</f>
        <v>1000</v>
      </c>
      <c r="L284" s="535">
        <f>+'CCF ISR'!L31</f>
        <v>39500</v>
      </c>
      <c r="M284" s="535">
        <f>+'CCF ISR'!M31</f>
        <v>38500</v>
      </c>
      <c r="N284" s="535">
        <f>+'CCF ISR'!N31</f>
        <v>29000</v>
      </c>
    </row>
    <row r="285" spans="1:24" x14ac:dyDescent="0.2">
      <c r="A285" s="535" t="s">
        <v>128</v>
      </c>
      <c r="B285" s="535"/>
      <c r="C285" s="535"/>
      <c r="D285" s="535"/>
      <c r="E285" s="535"/>
      <c r="F285" s="535"/>
      <c r="G285" s="535"/>
      <c r="H285" s="535"/>
      <c r="I285" s="535"/>
      <c r="J285" s="535"/>
      <c r="K285" s="535"/>
      <c r="L285" s="535"/>
      <c r="M285" s="535"/>
      <c r="N285" s="535"/>
    </row>
    <row r="286" spans="1:24" ht="22.5" x14ac:dyDescent="0.2">
      <c r="A286" s="535" t="s">
        <v>129</v>
      </c>
      <c r="B286" s="535"/>
      <c r="C286" s="535"/>
      <c r="D286" s="535"/>
      <c r="E286" s="535"/>
      <c r="F286" s="535"/>
      <c r="G286" s="535"/>
      <c r="H286" s="535"/>
      <c r="I286" s="535"/>
      <c r="J286" s="535"/>
      <c r="K286" s="535"/>
      <c r="L286" s="535"/>
      <c r="M286" s="535"/>
      <c r="N286" s="535"/>
    </row>
    <row r="287" spans="1:24" ht="22.5" x14ac:dyDescent="0.2">
      <c r="A287" s="535" t="s">
        <v>130</v>
      </c>
      <c r="B287" s="739"/>
      <c r="C287" s="739"/>
      <c r="D287" s="739"/>
      <c r="E287" s="739"/>
      <c r="F287" s="739"/>
      <c r="G287" s="739"/>
      <c r="H287" s="739"/>
      <c r="I287" s="739"/>
      <c r="J287" s="739"/>
      <c r="K287" s="739"/>
      <c r="L287" s="739"/>
      <c r="M287" s="739"/>
      <c r="N287" s="739"/>
    </row>
    <row r="288" spans="1:24" x14ac:dyDescent="0.2">
      <c r="A288" s="609" t="s">
        <v>669</v>
      </c>
      <c r="B288" s="694">
        <f t="shared" ref="B288" si="67">+B250</f>
        <v>0</v>
      </c>
      <c r="C288" s="694">
        <f t="shared" ref="C288:N288" si="68">+C250</f>
        <v>0</v>
      </c>
      <c r="D288" s="694">
        <f t="shared" si="68"/>
        <v>0</v>
      </c>
      <c r="E288" s="694">
        <f t="shared" si="68"/>
        <v>0</v>
      </c>
      <c r="F288" s="694">
        <f t="shared" si="68"/>
        <v>0</v>
      </c>
      <c r="G288" s="694">
        <f t="shared" si="68"/>
        <v>0</v>
      </c>
      <c r="H288" s="694">
        <f t="shared" si="68"/>
        <v>0</v>
      </c>
      <c r="I288" s="694">
        <f t="shared" si="68"/>
        <v>0</v>
      </c>
      <c r="J288" s="694">
        <f t="shared" si="68"/>
        <v>175308</v>
      </c>
      <c r="K288" s="694">
        <f t="shared" si="68"/>
        <v>175308</v>
      </c>
      <c r="L288" s="694">
        <f t="shared" si="68"/>
        <v>175308</v>
      </c>
      <c r="M288" s="694">
        <f t="shared" si="68"/>
        <v>0</v>
      </c>
      <c r="N288" s="694">
        <f t="shared" si="68"/>
        <v>0</v>
      </c>
    </row>
    <row r="289" spans="1:25" x14ac:dyDescent="0.2">
      <c r="A289" s="535" t="s">
        <v>131</v>
      </c>
      <c r="B289" s="910">
        <f>+'CCF ISR'!B39+'CCF ISR'!B40+'CCF ISR'!B41</f>
        <v>196808.93790641337</v>
      </c>
      <c r="C289" s="910">
        <f>+'CCF ISR'!C39+'CCF ISR'!C40+'CCF ISR'!C41</f>
        <v>196808.93790641337</v>
      </c>
      <c r="D289" s="910">
        <f>+'CCF ISR'!D39+'CCF ISR'!D40+'CCF ISR'!D41</f>
        <v>196808.93790641337</v>
      </c>
      <c r="E289" s="910">
        <f>+'CCF ISR'!E39+'CCF ISR'!E40+'CCF ISR'!E41</f>
        <v>196808.93790641337</v>
      </c>
      <c r="F289" s="910">
        <f>+'CCF ISR'!F39+'CCF ISR'!F40+'CCF ISR'!F41</f>
        <v>196808.93790641337</v>
      </c>
      <c r="G289" s="910">
        <f>+'CCF ISR'!G39+'CCF ISR'!G40+'CCF ISR'!G41</f>
        <v>196808.93790641337</v>
      </c>
      <c r="H289" s="910">
        <f>+'CCF ISR'!H39+'CCF ISR'!H40+'CCF ISR'!H41</f>
        <v>196808.93790641337</v>
      </c>
      <c r="I289" s="910">
        <f>+'CCF ISR'!I39+'CCF ISR'!I40+'CCF ISR'!I41</f>
        <v>196808.93790641337</v>
      </c>
      <c r="J289" s="910">
        <f>+'CCF ISR'!J39+'CCF ISR'!J40+'CCF ISR'!J41</f>
        <v>196808.93790641337</v>
      </c>
      <c r="K289" s="910">
        <f>+'CCF ISR'!K39+'CCF ISR'!K40+'CCF ISR'!K41</f>
        <v>196808.93790641337</v>
      </c>
      <c r="L289" s="910">
        <f>+'CCF ISR'!L39+'CCF ISR'!L40+'CCF ISR'!L41</f>
        <v>195953.01542776998</v>
      </c>
      <c r="M289" s="910">
        <f>+'CCF ISR'!M39+'CCF ISR'!M40+'CCF ISR'!M41</f>
        <v>144821.75188065792</v>
      </c>
      <c r="N289" s="910">
        <f>+'CCF ISR'!N39+'CCF ISR'!N40+'CCF ISR'!N41</f>
        <v>0</v>
      </c>
    </row>
    <row r="290" spans="1:25" x14ac:dyDescent="0.2">
      <c r="A290" s="562" t="s">
        <v>132</v>
      </c>
      <c r="B290" s="644">
        <f>SUM(B291:B302)</f>
        <v>679029</v>
      </c>
      <c r="C290" s="644">
        <f t="shared" ref="C290:N290" si="69">SUM(C291:C302)</f>
        <v>7111744</v>
      </c>
      <c r="D290" s="644">
        <f t="shared" si="69"/>
        <v>7111744</v>
      </c>
      <c r="E290" s="644">
        <f t="shared" si="69"/>
        <v>7111744</v>
      </c>
      <c r="F290" s="644">
        <f t="shared" si="69"/>
        <v>7111744</v>
      </c>
      <c r="G290" s="644">
        <f t="shared" si="69"/>
        <v>7111744</v>
      </c>
      <c r="H290" s="644">
        <f t="shared" si="69"/>
        <v>7107894</v>
      </c>
      <c r="I290" s="644">
        <f t="shared" si="69"/>
        <v>454309</v>
      </c>
      <c r="J290" s="644">
        <f t="shared" si="69"/>
        <v>327000</v>
      </c>
      <c r="K290" s="644">
        <f t="shared" si="69"/>
        <v>16067458</v>
      </c>
      <c r="L290" s="644">
        <f t="shared" si="69"/>
        <v>16067458</v>
      </c>
      <c r="M290" s="644">
        <f t="shared" si="69"/>
        <v>327000</v>
      </c>
      <c r="N290" s="644">
        <f t="shared" si="69"/>
        <v>297000</v>
      </c>
    </row>
    <row r="291" spans="1:25" x14ac:dyDescent="0.2">
      <c r="A291" s="558" t="s">
        <v>670</v>
      </c>
      <c r="B291" s="610"/>
      <c r="C291" s="610">
        <f>+C156</f>
        <v>6713000</v>
      </c>
      <c r="D291" s="610">
        <f>+D156</f>
        <v>6713000</v>
      </c>
      <c r="E291" s="610">
        <f>+E156</f>
        <v>6713000</v>
      </c>
      <c r="F291" s="610">
        <f>+F156</f>
        <v>6713000</v>
      </c>
      <c r="G291" s="610">
        <f>+G156</f>
        <v>6713000</v>
      </c>
      <c r="H291" s="610">
        <f>+H156</f>
        <v>6713000</v>
      </c>
      <c r="I291" s="610">
        <f>+I156</f>
        <v>0</v>
      </c>
      <c r="J291" s="610">
        <f>+J156</f>
        <v>0</v>
      </c>
      <c r="K291" s="610">
        <f>+K156</f>
        <v>15740458</v>
      </c>
      <c r="L291" s="610">
        <f>+L156</f>
        <v>15740458</v>
      </c>
      <c r="M291" s="610">
        <f>+M156</f>
        <v>0</v>
      </c>
      <c r="N291" s="610">
        <f>+N156</f>
        <v>0</v>
      </c>
    </row>
    <row r="292" spans="1:25" x14ac:dyDescent="0.2">
      <c r="A292" s="535" t="s">
        <v>133</v>
      </c>
      <c r="B292" s="568">
        <f>+'CCF ISR'!B50+'CCF ISR'!B51+'CCF ISR'!B52</f>
        <v>296000</v>
      </c>
      <c r="C292" s="568">
        <f>+'CCF ISR'!C50+'CCF ISR'!C51+'CCF ISR'!C52</f>
        <v>296000</v>
      </c>
      <c r="D292" s="568">
        <f>+'CCF ISR'!D50+'CCF ISR'!D51+'CCF ISR'!D52</f>
        <v>296000</v>
      </c>
      <c r="E292" s="568">
        <f>+'CCF ISR'!E50+'CCF ISR'!E51+'CCF ISR'!E52</f>
        <v>296000</v>
      </c>
      <c r="F292" s="568">
        <f>+'CCF ISR'!F50+'CCF ISR'!F51+'CCF ISR'!F52</f>
        <v>296000</v>
      </c>
      <c r="G292" s="568">
        <f>+'CCF ISR'!G50+'CCF ISR'!G51+'CCF ISR'!G52</f>
        <v>296000</v>
      </c>
      <c r="H292" s="568">
        <f>+'CCF ISR'!H50+'CCF ISR'!H51+'CCF ISR'!H52</f>
        <v>296000</v>
      </c>
      <c r="I292" s="568">
        <f>+'CCF ISR'!I50+'CCF ISR'!I51+'CCF ISR'!I52</f>
        <v>296000</v>
      </c>
      <c r="J292" s="568">
        <f>+'CCF ISR'!J50+'CCF ISR'!J51+'CCF ISR'!J52</f>
        <v>296000</v>
      </c>
      <c r="K292" s="568">
        <f>+'CCF ISR'!K50+'CCF ISR'!K51+'CCF ISR'!K52</f>
        <v>296000</v>
      </c>
      <c r="L292" s="568">
        <f>+'CCF ISR'!L50+'CCF ISR'!L51+'CCF ISR'!L52</f>
        <v>296000</v>
      </c>
      <c r="M292" s="568">
        <f>+'CCF ISR'!M50+'CCF ISR'!M51+'CCF ISR'!M52</f>
        <v>296000</v>
      </c>
      <c r="N292" s="568">
        <f>+'CCF ISR'!N50+'CCF ISR'!N51+'CCF ISR'!N52</f>
        <v>266000</v>
      </c>
    </row>
    <row r="293" spans="1:25" x14ac:dyDescent="0.2">
      <c r="A293" s="535" t="s">
        <v>134</v>
      </c>
      <c r="B293" s="567">
        <f>+'CCF ISR'!B55</f>
        <v>16000</v>
      </c>
      <c r="C293" s="570">
        <f>+'CCF ISR'!C55</f>
        <v>16000</v>
      </c>
      <c r="D293" s="570">
        <f>+'CCF ISR'!D55</f>
        <v>16000</v>
      </c>
      <c r="E293" s="570">
        <f>+'CCF ISR'!E55</f>
        <v>16000</v>
      </c>
      <c r="F293" s="570">
        <f>+'CCF ISR'!F55</f>
        <v>16000</v>
      </c>
      <c r="G293" s="570">
        <f>+'CCF ISR'!G55</f>
        <v>16000</v>
      </c>
      <c r="H293" s="570">
        <f>+'CCF ISR'!H55</f>
        <v>16000</v>
      </c>
      <c r="I293" s="570">
        <f>+'CCF ISR'!I55</f>
        <v>16000</v>
      </c>
      <c r="J293" s="570">
        <f>+'CCF ISR'!J55</f>
        <v>16000</v>
      </c>
      <c r="K293" s="570">
        <f>+'CCF ISR'!K55</f>
        <v>16000</v>
      </c>
      <c r="L293" s="570">
        <f>+'CCF ISR'!L55</f>
        <v>16000</v>
      </c>
      <c r="M293" s="570">
        <f>+'CCF ISR'!M55</f>
        <v>16000</v>
      </c>
      <c r="N293" s="570">
        <f>+'CCF ISR'!N55</f>
        <v>16000</v>
      </c>
      <c r="Q293" s="667"/>
    </row>
    <row r="294" spans="1:25" x14ac:dyDescent="0.2">
      <c r="A294" s="535" t="s">
        <v>671</v>
      </c>
      <c r="B294" s="700">
        <f>+'CCF ISR'!B59+'CCF ISR'!B56</f>
        <v>285029</v>
      </c>
      <c r="C294" s="700">
        <f>+'CCF ISR'!C59</f>
        <v>71744</v>
      </c>
      <c r="D294" s="700">
        <f>+'CCF ISR'!D59</f>
        <v>71744</v>
      </c>
      <c r="E294" s="700">
        <f>+'CCF ISR'!E59</f>
        <v>71744</v>
      </c>
      <c r="F294" s="700">
        <f>+'CCF ISR'!F59</f>
        <v>71744</v>
      </c>
      <c r="G294" s="700">
        <f>+'CCF ISR'!G59</f>
        <v>71744</v>
      </c>
      <c r="H294" s="700">
        <f>+'CCF ISR'!H59</f>
        <v>67894</v>
      </c>
      <c r="I294" s="700">
        <f>+'CCF ISR'!I59</f>
        <v>127309</v>
      </c>
      <c r="J294" s="700">
        <f>+'CCF ISR'!J59</f>
        <v>0</v>
      </c>
      <c r="K294" s="700">
        <f>+'CCF ISR'!K59</f>
        <v>0</v>
      </c>
      <c r="L294" s="700">
        <f>+'CCF ISR'!L59</f>
        <v>0</v>
      </c>
      <c r="M294" s="700">
        <f>+'CCF ISR'!M59</f>
        <v>0</v>
      </c>
      <c r="N294" s="700">
        <f>+'CCF ISR'!N59</f>
        <v>0</v>
      </c>
    </row>
    <row r="295" spans="1:25" x14ac:dyDescent="0.2">
      <c r="A295" s="535" t="s">
        <v>448</v>
      </c>
      <c r="B295" s="535"/>
      <c r="C295" s="535"/>
      <c r="D295" s="535"/>
      <c r="E295" s="535"/>
      <c r="F295" s="535"/>
      <c r="G295" s="535"/>
      <c r="H295" s="535"/>
      <c r="I295" s="535"/>
      <c r="J295" s="535"/>
      <c r="K295" s="535"/>
      <c r="L295" s="535"/>
      <c r="M295" s="535"/>
      <c r="N295" s="535"/>
    </row>
    <row r="296" spans="1:25" x14ac:dyDescent="0.2">
      <c r="A296" s="535" t="s">
        <v>135</v>
      </c>
      <c r="B296" s="535"/>
      <c r="C296" s="535"/>
      <c r="D296" s="535"/>
      <c r="E296" s="535"/>
      <c r="F296" s="535"/>
      <c r="G296" s="535"/>
      <c r="H296" s="535"/>
      <c r="I296" s="535"/>
      <c r="J296" s="535"/>
      <c r="K296" s="535"/>
      <c r="L296" s="535"/>
      <c r="M296" s="535"/>
      <c r="N296" s="535"/>
      <c r="Q296" s="667"/>
    </row>
    <row r="297" spans="1:25" x14ac:dyDescent="0.2">
      <c r="A297" s="535" t="s">
        <v>136</v>
      </c>
      <c r="B297" s="535"/>
      <c r="C297" s="535"/>
      <c r="D297" s="535"/>
      <c r="E297" s="535"/>
      <c r="F297" s="535"/>
      <c r="G297" s="535"/>
      <c r="H297" s="535"/>
      <c r="I297" s="535"/>
      <c r="J297" s="535"/>
      <c r="K297" s="535"/>
      <c r="L297" s="535"/>
      <c r="M297" s="535"/>
      <c r="N297" s="535"/>
      <c r="W297" s="940"/>
      <c r="X297" s="940"/>
    </row>
    <row r="298" spans="1:25" ht="22.5" x14ac:dyDescent="0.2">
      <c r="A298" s="558" t="s">
        <v>672</v>
      </c>
      <c r="B298" s="558"/>
      <c r="C298" s="558"/>
      <c r="D298" s="558"/>
      <c r="E298" s="558"/>
      <c r="F298" s="558"/>
      <c r="G298" s="558"/>
      <c r="H298" s="558"/>
      <c r="I298" s="558"/>
      <c r="J298" s="558"/>
      <c r="K298" s="558"/>
      <c r="L298" s="558"/>
      <c r="M298" s="558"/>
      <c r="N298" s="558"/>
    </row>
    <row r="299" spans="1:25" x14ac:dyDescent="0.2">
      <c r="A299" s="635" t="s">
        <v>137</v>
      </c>
      <c r="B299" s="909">
        <f>+'CCF ISR'!B54+'CCF ISR'!B67</f>
        <v>82000</v>
      </c>
      <c r="C299" s="909">
        <f>+'CCF ISR'!C54</f>
        <v>15000</v>
      </c>
      <c r="D299" s="909">
        <f>+'CCF ISR'!D54</f>
        <v>15000</v>
      </c>
      <c r="E299" s="909">
        <f>+'CCF ISR'!E54</f>
        <v>15000</v>
      </c>
      <c r="F299" s="909">
        <f>+'CCF ISR'!F54</f>
        <v>15000</v>
      </c>
      <c r="G299" s="909">
        <f>+'CCF ISR'!G54</f>
        <v>15000</v>
      </c>
      <c r="H299" s="909">
        <f>+'CCF ISR'!H54</f>
        <v>15000</v>
      </c>
      <c r="I299" s="909">
        <f>+'CCF ISR'!I54</f>
        <v>15000</v>
      </c>
      <c r="J299" s="909">
        <f>+'CCF ISR'!J54</f>
        <v>15000</v>
      </c>
      <c r="K299" s="909">
        <f>+'CCF ISR'!K54</f>
        <v>15000</v>
      </c>
      <c r="L299" s="909">
        <f>+'CCF ISR'!L54</f>
        <v>15000</v>
      </c>
      <c r="M299" s="909">
        <f>+'CCF ISR'!M54</f>
        <v>15000</v>
      </c>
      <c r="N299" s="909">
        <f>+'CCF ISR'!N54</f>
        <v>15000</v>
      </c>
      <c r="W299" s="765"/>
    </row>
    <row r="300" spans="1:25" x14ac:dyDescent="0.2">
      <c r="A300" s="764"/>
      <c r="B300" s="726"/>
      <c r="C300" s="726"/>
      <c r="D300" s="726"/>
      <c r="E300" s="726"/>
      <c r="F300" s="726"/>
      <c r="G300" s="726"/>
      <c r="H300" s="726"/>
      <c r="I300" s="726"/>
      <c r="J300" s="726"/>
      <c r="K300" s="726"/>
      <c r="L300" s="726"/>
      <c r="M300" s="726"/>
      <c r="N300" s="726"/>
      <c r="T300" s="941" t="s">
        <v>942</v>
      </c>
      <c r="U300" s="941"/>
      <c r="W300" s="941" t="s">
        <v>941</v>
      </c>
      <c r="X300" s="941"/>
    </row>
    <row r="301" spans="1:25" x14ac:dyDescent="0.2">
      <c r="A301" s="764"/>
      <c r="B301" s="726"/>
      <c r="C301" s="726"/>
      <c r="D301" s="726"/>
      <c r="E301" s="726"/>
      <c r="F301" s="726"/>
      <c r="G301" s="726"/>
      <c r="H301" s="726"/>
      <c r="I301" s="726"/>
      <c r="J301" s="726"/>
      <c r="K301" s="726"/>
      <c r="L301" s="726"/>
      <c r="M301" s="726"/>
      <c r="N301" s="726"/>
      <c r="T301" s="740"/>
      <c r="U301" s="740"/>
      <c r="W301" s="765"/>
    </row>
    <row r="302" spans="1:25" x14ac:dyDescent="0.2">
      <c r="A302" s="764"/>
      <c r="B302" s="726"/>
      <c r="C302" s="726"/>
      <c r="D302" s="726"/>
      <c r="E302" s="726"/>
      <c r="F302" s="726"/>
      <c r="G302" s="726"/>
      <c r="H302" s="726"/>
      <c r="I302" s="726"/>
      <c r="J302" s="726"/>
      <c r="K302" s="726"/>
      <c r="L302" s="726"/>
      <c r="M302" s="726"/>
      <c r="N302" s="726"/>
      <c r="T302" s="740" t="s">
        <v>940</v>
      </c>
      <c r="U302" s="740">
        <v>92642</v>
      </c>
      <c r="W302" s="942" t="s">
        <v>939</v>
      </c>
      <c r="X302" s="942"/>
      <c r="Y302" s="942"/>
    </row>
    <row r="303" spans="1:25" ht="12" thickBot="1" x14ac:dyDescent="0.25">
      <c r="A303" s="562" t="s">
        <v>139</v>
      </c>
      <c r="B303" s="763">
        <f t="shared" ref="B303" si="70">SUM(B304:B318)</f>
        <v>588336.62109160051</v>
      </c>
      <c r="C303" s="763">
        <f t="shared" ref="C303:N303" si="71">SUM(C304:C318)</f>
        <v>7288177.308871231</v>
      </c>
      <c r="D303" s="763">
        <f t="shared" si="71"/>
        <v>7285820.8533239961</v>
      </c>
      <c r="E303" s="763">
        <f t="shared" si="71"/>
        <v>7295255.4169048965</v>
      </c>
      <c r="F303" s="763">
        <f t="shared" si="71"/>
        <v>7280600.9272869444</v>
      </c>
      <c r="G303" s="763">
        <f t="shared" si="71"/>
        <v>7278782.7272869442</v>
      </c>
      <c r="H303" s="763">
        <f t="shared" si="71"/>
        <v>7316992.1748620886</v>
      </c>
      <c r="I303" s="763">
        <f t="shared" si="71"/>
        <v>558993.32728694438</v>
      </c>
      <c r="J303" s="763">
        <f t="shared" si="71"/>
        <v>558993.32728694426</v>
      </c>
      <c r="K303" s="763">
        <f t="shared" si="71"/>
        <v>16358865.974862089</v>
      </c>
      <c r="L303" s="763">
        <f t="shared" si="71"/>
        <v>16294956.095622499</v>
      </c>
      <c r="M303" s="763">
        <f t="shared" si="71"/>
        <v>661509.30395651842</v>
      </c>
      <c r="N303" s="763">
        <f t="shared" si="71"/>
        <v>476821.75188065792</v>
      </c>
      <c r="T303" s="740" t="s">
        <v>938</v>
      </c>
      <c r="U303" s="740">
        <v>79863.793103448275</v>
      </c>
    </row>
    <row r="304" spans="1:25" x14ac:dyDescent="0.2">
      <c r="A304" s="1072" t="s">
        <v>140</v>
      </c>
      <c r="B304" s="559">
        <f>+'Otros puntos CCF'!B105</f>
        <v>27092.192792719237</v>
      </c>
      <c r="C304" s="559">
        <f>+'Otros puntos CCF'!C105</f>
        <v>13441.096075321468</v>
      </c>
      <c r="D304" s="559">
        <f>+'Otros puntos CCF'!D105</f>
        <v>8523.2511050413959</v>
      </c>
      <c r="E304" s="559">
        <f>+'Otros puntos CCF'!E105</f>
        <v>16325.286078128975</v>
      </c>
      <c r="F304" s="559">
        <f>+'Otros puntos CCF'!F105</f>
        <v>0</v>
      </c>
      <c r="G304" s="559">
        <f>+'Otros puntos CCF'!G105</f>
        <v>0</v>
      </c>
      <c r="H304" s="559">
        <f>+'Otros puntos CCF'!H105</f>
        <v>0</v>
      </c>
      <c r="I304" s="559">
        <f>+'Otros puntos CCF'!I105</f>
        <v>0</v>
      </c>
      <c r="J304" s="559">
        <f>+'Otros puntos CCF'!J105</f>
        <v>0</v>
      </c>
      <c r="K304" s="559">
        <f>+'Otros puntos CCF'!K105</f>
        <v>0</v>
      </c>
      <c r="L304" s="559">
        <f>+'Otros puntos CCF'!L105</f>
        <v>0</v>
      </c>
      <c r="M304" s="559">
        <f>+'Otros puntos CCF'!M105</f>
        <v>0</v>
      </c>
      <c r="N304" s="559">
        <f>+'Otros puntos CCF'!N105</f>
        <v>0</v>
      </c>
      <c r="Q304" s="667"/>
      <c r="T304" s="740" t="s">
        <v>937</v>
      </c>
      <c r="U304" s="740"/>
      <c r="W304" s="762" t="s">
        <v>931</v>
      </c>
      <c r="X304" s="761">
        <v>381900</v>
      </c>
      <c r="Y304" s="760"/>
    </row>
    <row r="305" spans="1:25" ht="12.75" customHeight="1" x14ac:dyDescent="0.2">
      <c r="A305" s="1072" t="s">
        <v>673</v>
      </c>
      <c r="B305" s="537"/>
      <c r="C305" s="537"/>
      <c r="D305" s="537"/>
      <c r="E305" s="537"/>
      <c r="F305" s="537"/>
      <c r="G305" s="537"/>
      <c r="H305" s="558"/>
      <c r="I305" s="558"/>
      <c r="J305" s="558"/>
      <c r="K305" s="558"/>
      <c r="L305" s="558"/>
      <c r="M305" s="558"/>
      <c r="N305" s="558"/>
      <c r="T305" s="740">
        <v>6289884</v>
      </c>
      <c r="U305" s="758">
        <f>+T305*T306</f>
        <v>251595.36000000002</v>
      </c>
      <c r="W305" s="757" t="s">
        <v>929</v>
      </c>
      <c r="X305" s="756">
        <f>+X304*0.16</f>
        <v>61104</v>
      </c>
      <c r="Y305" s="755"/>
    </row>
    <row r="306" spans="1:25" ht="12" thickBot="1" x14ac:dyDescent="0.25">
      <c r="A306" s="1073" t="s">
        <v>141</v>
      </c>
      <c r="B306" s="754">
        <f>+B291</f>
        <v>0</v>
      </c>
      <c r="C306" s="754">
        <f t="shared" ref="C306:N306" si="72">+C291</f>
        <v>6713000</v>
      </c>
      <c r="D306" s="754">
        <f t="shared" si="72"/>
        <v>6713000</v>
      </c>
      <c r="E306" s="754">
        <f t="shared" si="72"/>
        <v>6713000</v>
      </c>
      <c r="F306" s="754">
        <f t="shared" si="72"/>
        <v>6713000</v>
      </c>
      <c r="G306" s="754">
        <f t="shared" si="72"/>
        <v>6713000</v>
      </c>
      <c r="H306" s="754">
        <f t="shared" si="72"/>
        <v>6713000</v>
      </c>
      <c r="I306" s="754">
        <f t="shared" si="72"/>
        <v>0</v>
      </c>
      <c r="J306" s="754">
        <f t="shared" si="72"/>
        <v>0</v>
      </c>
      <c r="K306" s="754">
        <f t="shared" si="72"/>
        <v>15740458</v>
      </c>
      <c r="L306" s="754">
        <f t="shared" si="72"/>
        <v>15740458</v>
      </c>
      <c r="M306" s="754">
        <f t="shared" si="72"/>
        <v>0</v>
      </c>
      <c r="N306" s="754">
        <f t="shared" si="72"/>
        <v>0</v>
      </c>
      <c r="T306" s="529">
        <v>0.04</v>
      </c>
      <c r="W306" s="753" t="s">
        <v>928</v>
      </c>
      <c r="X306" s="752"/>
      <c r="Y306" s="751">
        <f>+X304+X305</f>
        <v>443004</v>
      </c>
    </row>
    <row r="307" spans="1:25" hidden="1" x14ac:dyDescent="0.2">
      <c r="A307" s="1072"/>
      <c r="B307" s="914"/>
      <c r="C307" s="914"/>
      <c r="D307" s="914"/>
      <c r="E307" s="914"/>
      <c r="F307" s="914"/>
      <c r="G307" s="914"/>
      <c r="H307" s="914"/>
      <c r="I307" s="914"/>
      <c r="J307" s="914"/>
      <c r="K307" s="914"/>
      <c r="L307" s="914"/>
      <c r="M307" s="914"/>
      <c r="N307" s="914"/>
    </row>
    <row r="308" spans="1:25" hidden="1" x14ac:dyDescent="0.2">
      <c r="A308" s="1072"/>
      <c r="B308" s="558"/>
      <c r="C308" s="558"/>
      <c r="D308" s="558"/>
      <c r="E308" s="558"/>
      <c r="F308" s="558"/>
      <c r="G308" s="558"/>
      <c r="H308" s="558"/>
      <c r="I308" s="558"/>
      <c r="J308" s="558"/>
      <c r="K308" s="558"/>
      <c r="L308" s="558"/>
      <c r="M308" s="558"/>
      <c r="N308" s="558"/>
    </row>
    <row r="309" spans="1:25" hidden="1" x14ac:dyDescent="0.2">
      <c r="A309" s="1072"/>
      <c r="B309" s="558"/>
      <c r="C309" s="558"/>
      <c r="D309" s="558"/>
      <c r="E309" s="558"/>
      <c r="F309" s="558"/>
      <c r="G309" s="558"/>
      <c r="H309" s="558"/>
      <c r="I309" s="558"/>
      <c r="J309" s="558"/>
      <c r="K309" s="558"/>
      <c r="L309" s="558"/>
      <c r="M309" s="558"/>
      <c r="N309" s="558"/>
      <c r="T309" s="529" t="s">
        <v>936</v>
      </c>
    </row>
    <row r="310" spans="1:25" x14ac:dyDescent="0.2">
      <c r="A310" s="1072" t="s">
        <v>163</v>
      </c>
      <c r="B310" s="559">
        <f>+'CCF ISR'!B82</f>
        <v>389000</v>
      </c>
      <c r="C310" s="559">
        <f>+'CCF ISR'!C82</f>
        <v>389000</v>
      </c>
      <c r="D310" s="559">
        <f>+'CCF ISR'!D82</f>
        <v>389000</v>
      </c>
      <c r="E310" s="559">
        <f>+'CCF ISR'!E82</f>
        <v>389000</v>
      </c>
      <c r="F310" s="559">
        <f>+'CCF ISR'!F82</f>
        <v>389000</v>
      </c>
      <c r="G310" s="559">
        <f>+'CCF ISR'!G82</f>
        <v>389000</v>
      </c>
      <c r="H310" s="559">
        <f>+'CCF ISR'!H82</f>
        <v>389000</v>
      </c>
      <c r="I310" s="559">
        <f>+'CCF ISR'!I82</f>
        <v>389000</v>
      </c>
      <c r="J310" s="559">
        <f>+'CCF ISR'!J82</f>
        <v>389000</v>
      </c>
      <c r="K310" s="559">
        <f>+'CCF ISR'!K82</f>
        <v>389000</v>
      </c>
      <c r="L310" s="559">
        <f>+'CCF ISR'!L82</f>
        <v>389000</v>
      </c>
      <c r="M310" s="559">
        <f>+'CCF ISR'!M82</f>
        <v>388000</v>
      </c>
      <c r="N310" s="559">
        <f>+'CCF ISR'!N82</f>
        <v>376000</v>
      </c>
      <c r="Q310" s="667"/>
      <c r="T310" s="529" t="s">
        <v>935</v>
      </c>
      <c r="U310" s="667">
        <v>251595.36000000002</v>
      </c>
    </row>
    <row r="311" spans="1:25" ht="23.25" customHeight="1" x14ac:dyDescent="0.2">
      <c r="A311" s="1072" t="s">
        <v>164</v>
      </c>
      <c r="B311" s="558"/>
      <c r="C311" s="558"/>
      <c r="D311" s="558"/>
      <c r="E311" s="558"/>
      <c r="F311" s="558"/>
      <c r="G311" s="558"/>
      <c r="H311" s="558"/>
      <c r="I311" s="558"/>
      <c r="J311" s="558"/>
      <c r="K311" s="558"/>
      <c r="L311" s="558"/>
      <c r="M311" s="558"/>
      <c r="N311" s="558"/>
      <c r="T311" s="529" t="s">
        <v>934</v>
      </c>
      <c r="U311" s="740">
        <v>40255.257600000004</v>
      </c>
    </row>
    <row r="312" spans="1:25" ht="23.25" customHeight="1" x14ac:dyDescent="0.2">
      <c r="A312" s="1072" t="s">
        <v>1006</v>
      </c>
      <c r="B312" s="558"/>
      <c r="C312" s="558"/>
      <c r="D312" s="558"/>
      <c r="E312" s="558"/>
      <c r="F312" s="558"/>
      <c r="G312" s="558"/>
      <c r="H312" s="558"/>
      <c r="I312" s="558"/>
      <c r="J312" s="558"/>
      <c r="K312" s="558"/>
      <c r="L312" s="558"/>
      <c r="M312" s="558"/>
      <c r="N312" s="558"/>
      <c r="U312" s="740"/>
    </row>
    <row r="313" spans="1:25" ht="22.5" x14ac:dyDescent="0.2">
      <c r="A313" s="1072" t="s">
        <v>674</v>
      </c>
      <c r="B313" s="558"/>
      <c r="C313" s="558"/>
      <c r="D313" s="558"/>
      <c r="E313" s="558"/>
      <c r="F313" s="558"/>
      <c r="G313" s="558"/>
      <c r="H313" s="558"/>
      <c r="I313" s="558"/>
      <c r="J313" s="558"/>
      <c r="K313" s="558"/>
      <c r="L313" s="558"/>
      <c r="M313" s="558"/>
      <c r="N313" s="558"/>
      <c r="T313" s="529" t="s">
        <v>933</v>
      </c>
      <c r="U313" s="750">
        <v>291850.6176</v>
      </c>
    </row>
    <row r="314" spans="1:25" ht="22.5" x14ac:dyDescent="0.2">
      <c r="A314" s="1072" t="s">
        <v>1007</v>
      </c>
      <c r="B314" s="558"/>
      <c r="C314" s="558"/>
      <c r="D314" s="558"/>
      <c r="E314" s="558"/>
      <c r="F314" s="558"/>
      <c r="G314" s="558"/>
      <c r="H314" s="558"/>
      <c r="I314" s="558"/>
      <c r="J314" s="558"/>
      <c r="K314" s="558"/>
      <c r="L314" s="558"/>
      <c r="M314" s="558"/>
      <c r="N314" s="558"/>
      <c r="U314" s="750"/>
    </row>
    <row r="315" spans="1:25" ht="12" thickBot="1" x14ac:dyDescent="0.25">
      <c r="A315" s="1072" t="s">
        <v>165</v>
      </c>
      <c r="B315" s="558"/>
      <c r="C315" s="558"/>
      <c r="D315" s="558"/>
      <c r="E315" s="558"/>
      <c r="F315" s="558"/>
      <c r="G315" s="558"/>
      <c r="H315" s="558"/>
      <c r="I315" s="558"/>
      <c r="J315" s="558"/>
      <c r="K315" s="558"/>
      <c r="L315" s="558"/>
      <c r="M315" s="558"/>
      <c r="N315" s="558"/>
    </row>
    <row r="316" spans="1:25" ht="25.5" customHeight="1" x14ac:dyDescent="0.2">
      <c r="A316" s="1072" t="s">
        <v>166</v>
      </c>
      <c r="B316" s="558"/>
      <c r="C316" s="558"/>
      <c r="D316" s="558"/>
      <c r="E316" s="558"/>
      <c r="F316" s="558"/>
      <c r="G316" s="558"/>
      <c r="H316" s="558"/>
      <c r="I316" s="558"/>
      <c r="J316" s="558"/>
      <c r="K316" s="558"/>
      <c r="L316" s="558"/>
      <c r="M316" s="558"/>
      <c r="N316" s="558"/>
      <c r="T316" s="749" t="s">
        <v>932</v>
      </c>
      <c r="U316" s="748"/>
      <c r="V316" s="747"/>
    </row>
    <row r="317" spans="1:25" x14ac:dyDescent="0.2">
      <c r="A317" s="1072" t="s">
        <v>167</v>
      </c>
      <c r="B317" s="558"/>
      <c r="C317" s="558"/>
      <c r="D317" s="558"/>
      <c r="E317" s="558"/>
      <c r="F317" s="558"/>
      <c r="G317" s="558"/>
      <c r="H317" s="558"/>
      <c r="I317" s="558"/>
      <c r="J317" s="558"/>
      <c r="K317" s="558"/>
      <c r="L317" s="558"/>
      <c r="M317" s="558"/>
      <c r="N317" s="558"/>
      <c r="T317" s="746" t="s">
        <v>931</v>
      </c>
      <c r="U317" s="745">
        <v>855204</v>
      </c>
      <c r="V317" s="744" t="s">
        <v>930</v>
      </c>
    </row>
    <row r="318" spans="1:25" x14ac:dyDescent="0.2">
      <c r="A318" s="1072" t="s">
        <v>168</v>
      </c>
      <c r="B318" s="700">
        <f>+'CCF ISR'!B90+'CCF ISR'!B92+'CCF ISR'!B93</f>
        <v>172244.42829888122</v>
      </c>
      <c r="C318" s="700">
        <f>+'CCF ISR'!C90+'CCF ISR'!C92+'CCF ISR'!C93</f>
        <v>172736.21279590926</v>
      </c>
      <c r="D318" s="700">
        <f>+'CCF ISR'!D90+'CCF ISR'!D92+'CCF ISR'!D93</f>
        <v>175297.60221895447</v>
      </c>
      <c r="E318" s="700">
        <f>+'CCF ISR'!E90+'CCF ISR'!E92+'CCF ISR'!E93</f>
        <v>176930.13082676736</v>
      </c>
      <c r="F318" s="700">
        <f>+'CCF ISR'!F90+'CCF ISR'!F92+'CCF ISR'!F93</f>
        <v>178600.92728694438</v>
      </c>
      <c r="G318" s="700">
        <f>+'CCF ISR'!G90+'CCF ISR'!G92+'CCF ISR'!G93</f>
        <v>176782.72728694434</v>
      </c>
      <c r="H318" s="700">
        <f>+'CCF ISR'!H90+'CCF ISR'!H92+'CCF ISR'!H93</f>
        <v>214992.17486208901</v>
      </c>
      <c r="I318" s="700">
        <f>+'CCF ISR'!I90+'CCF ISR'!I92+'CCF ISR'!I93</f>
        <v>169993.32728694435</v>
      </c>
      <c r="J318" s="700">
        <f>+'CCF ISR'!J90+'CCF ISR'!J92+'CCF ISR'!J93</f>
        <v>169993.32728694426</v>
      </c>
      <c r="K318" s="700">
        <f>+'CCF ISR'!K90+'CCF ISR'!K92+'CCF ISR'!K93</f>
        <v>229407.97486208889</v>
      </c>
      <c r="L318" s="700">
        <f>+'CCF ISR'!L90+'CCF ISR'!L92+'CCF ISR'!L93</f>
        <v>165498.09562249872</v>
      </c>
      <c r="M318" s="700">
        <f>+'CCF ISR'!M90+'CCF ISR'!M92+'CCF ISR'!M93</f>
        <v>273509.30395651836</v>
      </c>
      <c r="N318" s="700">
        <f>+'CCF ISR'!N90+'CCF ISR'!N92+'CCF ISR'!N93</f>
        <v>100821.75188065792</v>
      </c>
      <c r="T318" s="746" t="s">
        <v>929</v>
      </c>
      <c r="U318" s="745">
        <v>136832.64000000001</v>
      </c>
      <c r="V318" s="744"/>
    </row>
    <row r="319" spans="1:25" ht="12" thickBot="1" x14ac:dyDescent="0.25">
      <c r="A319" s="562" t="s">
        <v>169</v>
      </c>
      <c r="B319" s="913">
        <f t="shared" ref="B319" si="73">SUM(B320:B326)</f>
        <v>1000</v>
      </c>
      <c r="C319" s="913">
        <f t="shared" ref="C319:N319" si="74">SUM(C320:C326)</f>
        <v>1000</v>
      </c>
      <c r="D319" s="913">
        <f t="shared" si="74"/>
        <v>1000</v>
      </c>
      <c r="E319" s="913">
        <f t="shared" si="74"/>
        <v>1000</v>
      </c>
      <c r="F319" s="913">
        <f t="shared" si="74"/>
        <v>1000</v>
      </c>
      <c r="G319" s="913">
        <f t="shared" si="74"/>
        <v>1000</v>
      </c>
      <c r="H319" s="913">
        <f t="shared" si="74"/>
        <v>1000</v>
      </c>
      <c r="I319" s="913">
        <f t="shared" si="74"/>
        <v>1000</v>
      </c>
      <c r="J319" s="913">
        <f t="shared" si="74"/>
        <v>1000</v>
      </c>
      <c r="K319" s="913">
        <f t="shared" si="74"/>
        <v>39500</v>
      </c>
      <c r="L319" s="913">
        <f t="shared" si="74"/>
        <v>38500</v>
      </c>
      <c r="M319" s="913">
        <f t="shared" si="74"/>
        <v>29000</v>
      </c>
      <c r="N319" s="913">
        <f t="shared" si="74"/>
        <v>230000</v>
      </c>
      <c r="T319" s="743" t="s">
        <v>928</v>
      </c>
      <c r="U319" s="742">
        <v>992036.64</v>
      </c>
      <c r="V319" s="741"/>
    </row>
    <row r="320" spans="1:25" ht="22.5" x14ac:dyDescent="0.2">
      <c r="A320" s="535" t="s">
        <v>170</v>
      </c>
      <c r="B320" s="535"/>
      <c r="C320" s="535"/>
      <c r="D320" s="535"/>
      <c r="E320" s="535"/>
      <c r="F320" s="535"/>
      <c r="G320" s="535"/>
      <c r="H320" s="535"/>
      <c r="I320" s="535"/>
      <c r="J320" s="535"/>
      <c r="K320" s="535"/>
      <c r="L320" s="535"/>
      <c r="M320" s="535"/>
      <c r="N320" s="535"/>
      <c r="U320" s="740"/>
    </row>
    <row r="321" spans="1:21" x14ac:dyDescent="0.2">
      <c r="A321" s="535" t="s">
        <v>171</v>
      </c>
      <c r="B321" s="910">
        <f>+'CCF ISR'!B101</f>
        <v>1000</v>
      </c>
      <c r="C321" s="910">
        <f>+'CCF ISR'!C101</f>
        <v>1000</v>
      </c>
      <c r="D321" s="910">
        <f>+'CCF ISR'!D101</f>
        <v>1000</v>
      </c>
      <c r="E321" s="910">
        <f>+'CCF ISR'!E101</f>
        <v>1000</v>
      </c>
      <c r="F321" s="910">
        <f>+'CCF ISR'!F101</f>
        <v>1000</v>
      </c>
      <c r="G321" s="910">
        <f>+'CCF ISR'!G101</f>
        <v>1000</v>
      </c>
      <c r="H321" s="910">
        <f>+'CCF ISR'!H101</f>
        <v>1000</v>
      </c>
      <c r="I321" s="910">
        <f>+'CCF ISR'!I101</f>
        <v>1000</v>
      </c>
      <c r="J321" s="910">
        <f>+'CCF ISR'!J101</f>
        <v>1000</v>
      </c>
      <c r="K321" s="910">
        <f>+'CCF ISR'!K101</f>
        <v>39500</v>
      </c>
      <c r="L321" s="910">
        <f>+'CCF ISR'!L101</f>
        <v>38500</v>
      </c>
      <c r="M321" s="910">
        <f>+'CCF ISR'!M101</f>
        <v>29000</v>
      </c>
      <c r="N321" s="910">
        <f>+'CCF ISR'!N101</f>
        <v>230000</v>
      </c>
    </row>
    <row r="322" spans="1:21" x14ac:dyDescent="0.2">
      <c r="A322" s="535" t="s">
        <v>172</v>
      </c>
      <c r="B322" s="535"/>
      <c r="C322" s="535"/>
      <c r="D322" s="535"/>
      <c r="E322" s="535"/>
      <c r="F322" s="535"/>
      <c r="G322" s="535"/>
      <c r="H322" s="535"/>
      <c r="I322" s="535"/>
      <c r="J322" s="535"/>
      <c r="K322" s="535"/>
      <c r="L322" s="535"/>
      <c r="M322" s="535"/>
      <c r="N322" s="535"/>
    </row>
    <row r="323" spans="1:21" x14ac:dyDescent="0.2">
      <c r="A323" s="535" t="s">
        <v>173</v>
      </c>
      <c r="B323" s="739"/>
      <c r="C323" s="739"/>
      <c r="D323" s="739"/>
      <c r="E323" s="739"/>
      <c r="F323" s="739"/>
      <c r="G323" s="739"/>
      <c r="H323" s="739"/>
      <c r="I323" s="739"/>
      <c r="J323" s="739"/>
      <c r="K323" s="739"/>
      <c r="L323" s="739"/>
      <c r="M323" s="739"/>
      <c r="N323" s="739"/>
    </row>
    <row r="324" spans="1:21" x14ac:dyDescent="0.2">
      <c r="A324" s="535" t="s">
        <v>174</v>
      </c>
      <c r="B324" s="535"/>
      <c r="C324" s="535"/>
      <c r="D324" s="535"/>
      <c r="E324" s="535"/>
      <c r="F324" s="535"/>
      <c r="G324" s="535"/>
      <c r="H324" s="535"/>
      <c r="I324" s="535"/>
      <c r="J324" s="535"/>
      <c r="K324" s="535"/>
      <c r="L324" s="535"/>
      <c r="M324" s="535"/>
      <c r="N324" s="535"/>
    </row>
    <row r="325" spans="1:21" x14ac:dyDescent="0.2">
      <c r="A325" s="535" t="s">
        <v>175</v>
      </c>
      <c r="B325" s="610"/>
      <c r="C325" s="610"/>
      <c r="D325" s="610"/>
      <c r="E325" s="610"/>
      <c r="F325" s="610"/>
      <c r="G325" s="610"/>
      <c r="H325" s="610"/>
      <c r="I325" s="610"/>
      <c r="J325" s="610"/>
      <c r="K325" s="610"/>
      <c r="L325" s="610"/>
      <c r="M325" s="610"/>
      <c r="N325" s="610"/>
    </row>
    <row r="326" spans="1:21" x14ac:dyDescent="0.2">
      <c r="A326" s="535" t="s">
        <v>176</v>
      </c>
      <c r="B326" s="535"/>
      <c r="C326" s="535"/>
      <c r="D326" s="535"/>
      <c r="E326" s="535"/>
      <c r="F326" s="535"/>
      <c r="G326" s="535"/>
      <c r="H326" s="535"/>
      <c r="I326" s="535"/>
      <c r="J326" s="535"/>
      <c r="K326" s="535"/>
      <c r="L326" s="535"/>
      <c r="M326" s="535"/>
      <c r="N326" s="535"/>
    </row>
    <row r="327" spans="1:21" x14ac:dyDescent="0.2">
      <c r="A327" s="562" t="s">
        <v>231</v>
      </c>
      <c r="B327" s="738">
        <f t="shared" ref="B327" si="75">+B281+B282+B290-B303-B319</f>
        <v>656142.31681481283</v>
      </c>
      <c r="C327" s="738">
        <f t="shared" ref="C327:N327" si="76">+C281+C282+C290-C303-C319</f>
        <v>-2767068.8909648135</v>
      </c>
      <c r="D327" s="738">
        <f t="shared" si="76"/>
        <v>-2902004.5054175826</v>
      </c>
      <c r="E327" s="738">
        <f t="shared" si="76"/>
        <v>-190291.19233181607</v>
      </c>
      <c r="F327" s="738">
        <f t="shared" si="76"/>
        <v>68943.654119469225</v>
      </c>
      <c r="G327" s="738">
        <f t="shared" si="76"/>
        <v>478295.09061946906</v>
      </c>
      <c r="H327" s="738">
        <f t="shared" si="76"/>
        <v>712659.74304432422</v>
      </c>
      <c r="I327" s="738">
        <f t="shared" si="76"/>
        <v>85024.610619468964</v>
      </c>
      <c r="J327" s="738">
        <f t="shared" si="76"/>
        <v>133023.61061946908</v>
      </c>
      <c r="K327" s="738">
        <f t="shared" si="76"/>
        <v>762836.96304432489</v>
      </c>
      <c r="L327" s="738">
        <f t="shared" si="76"/>
        <v>865390.91980526969</v>
      </c>
      <c r="M327" s="738">
        <f t="shared" si="76"/>
        <v>-180187.5520758605</v>
      </c>
      <c r="N327" s="738">
        <f t="shared" si="76"/>
        <v>-380821.75188065792</v>
      </c>
      <c r="S327" s="667"/>
      <c r="T327" s="702"/>
      <c r="U327" s="702"/>
    </row>
    <row r="328" spans="1:21" x14ac:dyDescent="0.2">
      <c r="A328" s="737" t="s">
        <v>275</v>
      </c>
      <c r="B328" s="736"/>
      <c r="C328" s="736"/>
      <c r="D328" s="736"/>
      <c r="E328" s="736"/>
      <c r="F328" s="736"/>
      <c r="G328" s="736"/>
      <c r="H328" s="736"/>
      <c r="I328" s="736"/>
      <c r="J328" s="736"/>
      <c r="K328" s="736"/>
      <c r="L328" s="736"/>
      <c r="M328" s="736"/>
      <c r="N328" s="736"/>
      <c r="T328" s="702"/>
      <c r="U328" s="702"/>
    </row>
    <row r="329" spans="1:21" x14ac:dyDescent="0.2">
      <c r="A329" s="916"/>
      <c r="B329" s="808"/>
      <c r="C329" s="734"/>
      <c r="D329" s="592"/>
      <c r="E329" s="592"/>
      <c r="F329" s="723"/>
      <c r="G329" s="723"/>
      <c r="H329" s="734"/>
      <c r="I329" s="734"/>
      <c r="J329" s="734"/>
      <c r="K329" s="734"/>
      <c r="L329" s="734"/>
      <c r="M329" s="735"/>
      <c r="N329" s="735"/>
      <c r="T329" s="702"/>
    </row>
    <row r="330" spans="1:21" x14ac:dyDescent="0.2">
      <c r="A330" s="916"/>
      <c r="B330" s="733">
        <f t="shared" ref="B330:N330" si="77">+B276</f>
        <v>2017</v>
      </c>
      <c r="C330" s="733">
        <f t="shared" si="77"/>
        <v>2016</v>
      </c>
      <c r="D330" s="733">
        <f t="shared" si="77"/>
        <v>2015</v>
      </c>
      <c r="E330" s="733" t="str">
        <f t="shared" si="77"/>
        <v>2014 comp</v>
      </c>
      <c r="F330" s="733" t="str">
        <f t="shared" si="77"/>
        <v>2013 CXD</v>
      </c>
      <c r="G330" s="733" t="str">
        <f t="shared" si="77"/>
        <v>2012 CD</v>
      </c>
      <c r="H330" s="733" t="str">
        <f t="shared" si="77"/>
        <v>2011 CD</v>
      </c>
      <c r="I330" s="733">
        <f t="shared" si="77"/>
        <v>2010</v>
      </c>
      <c r="J330" s="733">
        <f t="shared" si="77"/>
        <v>2009</v>
      </c>
      <c r="K330" s="733">
        <f t="shared" si="77"/>
        <v>2008</v>
      </c>
      <c r="L330" s="733">
        <f t="shared" si="77"/>
        <v>2007</v>
      </c>
      <c r="M330" s="733">
        <f t="shared" si="77"/>
        <v>2006</v>
      </c>
      <c r="N330" s="733">
        <f t="shared" si="77"/>
        <v>2005</v>
      </c>
    </row>
    <row r="331" spans="1:21" x14ac:dyDescent="0.2">
      <c r="A331" s="674" t="s">
        <v>177</v>
      </c>
      <c r="B331" s="588" t="s">
        <v>560</v>
      </c>
      <c r="C331" s="588" t="s">
        <v>560</v>
      </c>
      <c r="D331" s="588" t="s">
        <v>560</v>
      </c>
      <c r="E331" s="588" t="s">
        <v>560</v>
      </c>
      <c r="F331" s="588" t="s">
        <v>560</v>
      </c>
      <c r="G331" s="588" t="s">
        <v>560</v>
      </c>
      <c r="H331" s="588" t="s">
        <v>560</v>
      </c>
      <c r="I331" s="588" t="s">
        <v>560</v>
      </c>
      <c r="J331" s="588" t="s">
        <v>560</v>
      </c>
      <c r="K331" s="588" t="s">
        <v>560</v>
      </c>
      <c r="L331" s="588" t="s">
        <v>560</v>
      </c>
      <c r="M331" s="588" t="s">
        <v>560</v>
      </c>
      <c r="N331" s="588" t="s">
        <v>560</v>
      </c>
    </row>
    <row r="332" spans="1:21" x14ac:dyDescent="0.2">
      <c r="A332" s="558" t="s">
        <v>178</v>
      </c>
      <c r="B332" s="726">
        <v>8144496</v>
      </c>
      <c r="C332" s="726">
        <v>8144496</v>
      </c>
      <c r="D332" s="727">
        <v>6289884</v>
      </c>
      <c r="E332" s="726">
        <v>6852978.2400000002</v>
      </c>
      <c r="F332" s="726">
        <v>6852978.2400000002</v>
      </c>
      <c r="G332" s="726">
        <v>6243510.0800000001</v>
      </c>
      <c r="H332" s="729">
        <v>4322803.5100000007</v>
      </c>
      <c r="I332" s="729"/>
      <c r="J332" s="726"/>
      <c r="K332" s="726"/>
      <c r="L332" s="704"/>
      <c r="M332" s="704"/>
      <c r="N332" s="704"/>
      <c r="T332" s="702">
        <f>+B332*0.04</f>
        <v>325779.84000000003</v>
      </c>
    </row>
    <row r="333" spans="1:21" x14ac:dyDescent="0.2">
      <c r="A333" s="558" t="s">
        <v>179</v>
      </c>
      <c r="B333" s="726"/>
      <c r="C333" s="726"/>
      <c r="D333" s="727"/>
      <c r="E333" s="727"/>
      <c r="F333" s="726"/>
      <c r="G333" s="726"/>
      <c r="H333" s="729">
        <v>38310</v>
      </c>
      <c r="I333" s="729"/>
      <c r="J333" s="726"/>
      <c r="K333" s="726"/>
      <c r="L333" s="704"/>
      <c r="M333" s="704"/>
      <c r="N333" s="704"/>
      <c r="T333" s="702">
        <f>+T332*0.16</f>
        <v>52124.774400000002</v>
      </c>
    </row>
    <row r="334" spans="1:21" x14ac:dyDescent="0.2">
      <c r="A334" s="558" t="s">
        <v>180</v>
      </c>
      <c r="B334" s="726"/>
      <c r="C334" s="726"/>
      <c r="D334" s="727"/>
      <c r="E334" s="727"/>
      <c r="F334" s="726"/>
      <c r="G334" s="726"/>
      <c r="H334" s="729"/>
      <c r="I334" s="729"/>
      <c r="J334" s="726"/>
      <c r="K334" s="726"/>
      <c r="L334" s="704"/>
      <c r="M334" s="704"/>
      <c r="N334" s="704"/>
      <c r="T334" s="702">
        <f>+T332+T333</f>
        <v>377904.61440000002</v>
      </c>
    </row>
    <row r="335" spans="1:21" x14ac:dyDescent="0.2">
      <c r="A335" s="558" t="s">
        <v>181</v>
      </c>
      <c r="B335" s="726"/>
      <c r="C335" s="726"/>
      <c r="D335" s="727"/>
      <c r="E335" s="727"/>
      <c r="F335" s="726"/>
      <c r="G335" s="726"/>
      <c r="H335" s="729"/>
      <c r="I335" s="729"/>
      <c r="J335" s="726"/>
      <c r="K335" s="726"/>
      <c r="L335" s="704"/>
      <c r="M335" s="704"/>
      <c r="N335" s="704"/>
    </row>
    <row r="336" spans="1:21" ht="22.5" x14ac:dyDescent="0.2">
      <c r="A336" s="558" t="s">
        <v>692</v>
      </c>
      <c r="B336" s="726"/>
      <c r="C336" s="726"/>
      <c r="D336" s="727"/>
      <c r="E336" s="727"/>
      <c r="F336" s="726"/>
      <c r="G336" s="726"/>
      <c r="H336" s="729"/>
      <c r="I336" s="729"/>
      <c r="J336" s="726"/>
      <c r="K336" s="726"/>
      <c r="L336" s="704"/>
      <c r="M336" s="704"/>
      <c r="N336" s="704"/>
    </row>
    <row r="337" spans="1:14" x14ac:dyDescent="0.2">
      <c r="A337" s="558" t="s">
        <v>182</v>
      </c>
      <c r="B337" s="726"/>
      <c r="C337" s="726"/>
      <c r="D337" s="727"/>
      <c r="E337" s="727"/>
      <c r="F337" s="726"/>
      <c r="G337" s="726"/>
      <c r="H337" s="729"/>
      <c r="I337" s="729"/>
      <c r="J337" s="726"/>
      <c r="K337" s="726"/>
      <c r="L337" s="704"/>
      <c r="M337" s="704"/>
      <c r="N337" s="704"/>
    </row>
    <row r="338" spans="1:14" ht="22.5" x14ac:dyDescent="0.2">
      <c r="A338" s="560" t="s">
        <v>1008</v>
      </c>
      <c r="B338" s="729"/>
      <c r="C338" s="729"/>
      <c r="D338" s="730"/>
      <c r="E338" s="730"/>
      <c r="F338" s="729">
        <v>162515</v>
      </c>
      <c r="G338" s="729">
        <v>151225</v>
      </c>
      <c r="H338" s="729"/>
      <c r="I338" s="729"/>
      <c r="J338" s="726"/>
      <c r="K338" s="726"/>
      <c r="L338" s="704"/>
      <c r="M338" s="704"/>
      <c r="N338" s="704"/>
    </row>
    <row r="339" spans="1:14" x14ac:dyDescent="0.2">
      <c r="A339" s="558" t="s">
        <v>183</v>
      </c>
      <c r="B339" s="726"/>
      <c r="C339" s="726"/>
      <c r="D339" s="727">
        <v>1966.46</v>
      </c>
      <c r="E339" s="727"/>
      <c r="F339" s="726">
        <v>41866.94</v>
      </c>
      <c r="G339" s="726">
        <v>56721.83</v>
      </c>
      <c r="H339" s="729">
        <v>34705.26</v>
      </c>
      <c r="I339" s="729"/>
      <c r="J339" s="726"/>
      <c r="K339" s="726"/>
      <c r="L339" s="704"/>
      <c r="M339" s="704"/>
      <c r="N339" s="704"/>
    </row>
    <row r="340" spans="1:14" x14ac:dyDescent="0.2">
      <c r="A340" s="558" t="s">
        <v>184</v>
      </c>
      <c r="B340" s="726"/>
      <c r="C340" s="726"/>
      <c r="D340" s="727"/>
      <c r="E340" s="727"/>
      <c r="F340" s="726"/>
      <c r="G340" s="726"/>
      <c r="H340" s="729"/>
      <c r="I340" s="729"/>
      <c r="J340" s="726"/>
      <c r="K340" s="726"/>
      <c r="L340" s="704"/>
      <c r="M340" s="704"/>
      <c r="N340" s="704"/>
    </row>
    <row r="341" spans="1:14" x14ac:dyDescent="0.2">
      <c r="A341" s="558" t="s">
        <v>185</v>
      </c>
      <c r="B341" s="726">
        <f>+'[1]BZAS 2017'!AR616+'[1]BZAS 2017'!AR786</f>
        <v>434874.23</v>
      </c>
      <c r="C341" s="726">
        <v>355528.78999999992</v>
      </c>
      <c r="D341" s="727">
        <v>172199.16</v>
      </c>
      <c r="E341" s="727"/>
      <c r="F341" s="726"/>
      <c r="G341" s="726">
        <v>89.66</v>
      </c>
      <c r="H341" s="729"/>
      <c r="I341" s="729"/>
      <c r="J341" s="726"/>
      <c r="K341" s="726"/>
      <c r="L341" s="704"/>
      <c r="M341" s="704"/>
      <c r="N341" s="704"/>
    </row>
    <row r="342" spans="1:14" x14ac:dyDescent="0.2">
      <c r="A342" s="558" t="s">
        <v>186</v>
      </c>
      <c r="B342" s="726"/>
      <c r="C342" s="726"/>
      <c r="D342" s="727"/>
      <c r="E342" s="727"/>
      <c r="F342" s="726">
        <v>4445.88</v>
      </c>
      <c r="G342" s="726">
        <v>3072.83</v>
      </c>
      <c r="H342" s="729"/>
      <c r="I342" s="729"/>
      <c r="J342" s="726"/>
      <c r="K342" s="726"/>
      <c r="L342" s="704"/>
      <c r="M342" s="704"/>
      <c r="N342" s="704"/>
    </row>
    <row r="343" spans="1:14" x14ac:dyDescent="0.2">
      <c r="A343" s="558" t="s">
        <v>693</v>
      </c>
      <c r="B343" s="726"/>
      <c r="C343" s="726"/>
      <c r="D343" s="727"/>
      <c r="E343" s="727"/>
      <c r="F343" s="726"/>
      <c r="G343" s="726"/>
      <c r="H343" s="726"/>
      <c r="I343" s="726"/>
      <c r="J343" s="726"/>
      <c r="K343" s="726"/>
      <c r="L343" s="704"/>
      <c r="M343" s="704"/>
      <c r="N343" s="704"/>
    </row>
    <row r="344" spans="1:14" ht="22.5" x14ac:dyDescent="0.2">
      <c r="A344" s="558" t="s">
        <v>694</v>
      </c>
      <c r="B344" s="1074"/>
      <c r="C344" s="1074"/>
      <c r="D344" s="1075"/>
      <c r="E344" s="1075"/>
      <c r="F344" s="1074"/>
      <c r="G344" s="1074"/>
      <c r="H344" s="732"/>
      <c r="I344" s="732"/>
      <c r="J344" s="732"/>
      <c r="K344" s="732"/>
      <c r="L344" s="732"/>
      <c r="M344" s="731"/>
      <c r="N344" s="731"/>
    </row>
    <row r="345" spans="1:14" ht="22.5" x14ac:dyDescent="0.2">
      <c r="A345" s="558" t="s">
        <v>187</v>
      </c>
      <c r="B345" s="726">
        <v>632992.53</v>
      </c>
      <c r="C345" s="726">
        <v>632992.53</v>
      </c>
      <c r="D345" s="727">
        <v>370046.12</v>
      </c>
      <c r="E345" s="727"/>
      <c r="F345" s="726">
        <v>477747.87999999995</v>
      </c>
      <c r="G345" s="726">
        <v>553768.12</v>
      </c>
      <c r="H345" s="729">
        <v>327656.11</v>
      </c>
      <c r="I345" s="729"/>
      <c r="J345" s="726"/>
      <c r="K345" s="726"/>
      <c r="L345" s="704"/>
      <c r="M345" s="704"/>
      <c r="N345" s="704"/>
    </row>
    <row r="346" spans="1:14" ht="22.5" x14ac:dyDescent="0.2">
      <c r="A346" s="560" t="s">
        <v>927</v>
      </c>
      <c r="B346" s="729"/>
      <c r="C346" s="729"/>
      <c r="D346" s="730"/>
      <c r="E346" s="730"/>
      <c r="F346" s="729"/>
      <c r="G346" s="729"/>
      <c r="H346" s="726"/>
      <c r="I346" s="726"/>
      <c r="J346" s="726"/>
      <c r="K346" s="726"/>
      <c r="L346" s="704"/>
      <c r="M346" s="704"/>
      <c r="N346" s="704"/>
    </row>
    <row r="347" spans="1:14" x14ac:dyDescent="0.2">
      <c r="A347" s="558" t="s">
        <v>188</v>
      </c>
      <c r="B347" s="726">
        <v>440673.74</v>
      </c>
      <c r="C347" s="726">
        <v>440673.74</v>
      </c>
      <c r="D347" s="727">
        <v>314250.83999999997</v>
      </c>
      <c r="E347" s="727"/>
      <c r="F347" s="726">
        <v>382391.99</v>
      </c>
      <c r="G347" s="726">
        <v>335981.93</v>
      </c>
      <c r="H347" s="729">
        <v>270369.8</v>
      </c>
      <c r="I347" s="729"/>
      <c r="J347" s="726"/>
      <c r="K347" s="726"/>
      <c r="L347" s="704"/>
      <c r="M347" s="704"/>
      <c r="N347" s="704"/>
    </row>
    <row r="348" spans="1:14" x14ac:dyDescent="0.2">
      <c r="A348" s="558" t="s">
        <v>189</v>
      </c>
      <c r="B348" s="726"/>
      <c r="C348" s="726"/>
      <c r="D348" s="727"/>
      <c r="E348" s="727"/>
      <c r="F348" s="726"/>
      <c r="G348" s="726"/>
      <c r="H348" s="729">
        <v>0</v>
      </c>
      <c r="I348" s="729"/>
      <c r="J348" s="726"/>
      <c r="K348" s="726"/>
      <c r="L348" s="704"/>
      <c r="M348" s="704"/>
      <c r="N348" s="704"/>
    </row>
    <row r="349" spans="1:14" x14ac:dyDescent="0.2">
      <c r="A349" s="558" t="s">
        <v>695</v>
      </c>
      <c r="B349" s="726"/>
      <c r="C349" s="726"/>
      <c r="D349" s="727"/>
      <c r="E349" s="727"/>
      <c r="F349" s="726"/>
      <c r="G349" s="726"/>
      <c r="H349" s="726"/>
      <c r="I349" s="726"/>
      <c r="J349" s="726"/>
      <c r="K349" s="726"/>
      <c r="L349" s="704"/>
      <c r="M349" s="728"/>
      <c r="N349" s="728"/>
    </row>
    <row r="350" spans="1:14" ht="22.5" x14ac:dyDescent="0.2">
      <c r="A350" s="558" t="s">
        <v>926</v>
      </c>
      <c r="B350" s="726"/>
      <c r="C350" s="726"/>
      <c r="D350" s="727"/>
      <c r="E350" s="727"/>
      <c r="F350" s="726"/>
      <c r="G350" s="726"/>
      <c r="H350" s="726"/>
      <c r="I350" s="726"/>
      <c r="J350" s="726"/>
      <c r="K350" s="726"/>
      <c r="L350" s="725"/>
      <c r="M350" s="724"/>
      <c r="N350" s="724"/>
    </row>
    <row r="351" spans="1:14" ht="22.5" x14ac:dyDescent="0.2">
      <c r="A351" s="558" t="s">
        <v>925</v>
      </c>
      <c r="B351" s="726"/>
      <c r="C351" s="726"/>
      <c r="D351" s="727"/>
      <c r="E351" s="727"/>
      <c r="F351" s="726"/>
      <c r="G351" s="726"/>
      <c r="H351" s="726"/>
      <c r="I351" s="726"/>
      <c r="J351" s="726"/>
      <c r="K351" s="726"/>
      <c r="L351" s="725"/>
      <c r="M351" s="724"/>
      <c r="N351" s="724"/>
    </row>
    <row r="352" spans="1:14" ht="22.5" x14ac:dyDescent="0.2">
      <c r="A352" s="558" t="s">
        <v>924</v>
      </c>
      <c r="B352" s="729"/>
      <c r="C352" s="729"/>
      <c r="D352" s="730"/>
      <c r="E352" s="730"/>
      <c r="F352" s="726"/>
      <c r="G352" s="726"/>
      <c r="H352" s="726"/>
      <c r="I352" s="726"/>
      <c r="J352" s="726"/>
      <c r="K352" s="726"/>
      <c r="L352" s="725"/>
      <c r="M352" s="724"/>
      <c r="N352" s="724"/>
    </row>
    <row r="353" spans="1:14" ht="22.5" x14ac:dyDescent="0.2">
      <c r="A353" s="558" t="s">
        <v>923</v>
      </c>
      <c r="B353" s="729"/>
      <c r="C353" s="729"/>
      <c r="D353" s="730"/>
      <c r="E353" s="730"/>
      <c r="F353" s="726"/>
      <c r="G353" s="726"/>
      <c r="H353" s="726"/>
      <c r="I353" s="726"/>
      <c r="J353" s="726"/>
      <c r="K353" s="726"/>
      <c r="L353" s="725"/>
      <c r="M353" s="724"/>
      <c r="N353" s="724"/>
    </row>
    <row r="354" spans="1:14" ht="45" x14ac:dyDescent="0.2">
      <c r="A354" s="558" t="s">
        <v>1009</v>
      </c>
      <c r="B354" s="726"/>
      <c r="C354" s="726"/>
      <c r="D354" s="727"/>
      <c r="E354" s="727"/>
      <c r="F354" s="726"/>
      <c r="G354" s="726"/>
      <c r="H354" s="726"/>
      <c r="I354" s="726"/>
      <c r="J354" s="726"/>
      <c r="K354" s="726"/>
      <c r="L354" s="725"/>
      <c r="M354" s="724"/>
      <c r="N354" s="724"/>
    </row>
    <row r="355" spans="1:14" x14ac:dyDescent="0.2">
      <c r="A355" s="558" t="s">
        <v>762</v>
      </c>
      <c r="B355" s="729"/>
      <c r="C355" s="729"/>
      <c r="D355" s="730"/>
      <c r="E355" s="730"/>
      <c r="F355" s="726"/>
      <c r="G355" s="726"/>
      <c r="H355" s="726"/>
      <c r="I355" s="726"/>
      <c r="J355" s="726"/>
      <c r="K355" s="726"/>
      <c r="L355" s="725"/>
      <c r="M355" s="724"/>
      <c r="N355" s="724"/>
    </row>
    <row r="356" spans="1:14" x14ac:dyDescent="0.2">
      <c r="A356" s="558" t="s">
        <v>763</v>
      </c>
      <c r="B356" s="729"/>
      <c r="C356" s="729"/>
      <c r="D356" s="730"/>
      <c r="E356" s="730"/>
      <c r="F356" s="726"/>
      <c r="G356" s="726"/>
      <c r="H356" s="726"/>
      <c r="I356" s="726"/>
      <c r="J356" s="726"/>
      <c r="K356" s="726"/>
      <c r="L356" s="725"/>
      <c r="M356" s="724"/>
      <c r="N356" s="724"/>
    </row>
    <row r="357" spans="1:14" x14ac:dyDescent="0.2">
      <c r="A357" s="590"/>
      <c r="B357" s="590"/>
      <c r="C357" s="590"/>
      <c r="D357" s="592"/>
      <c r="E357" s="592"/>
      <c r="F357" s="590"/>
      <c r="G357" s="590"/>
      <c r="H357" s="723"/>
      <c r="I357" s="723"/>
      <c r="J357" s="723"/>
      <c r="K357" s="723"/>
      <c r="L357" s="590"/>
      <c r="M357" s="722"/>
      <c r="N357" s="722"/>
    </row>
    <row r="358" spans="1:14" x14ac:dyDescent="0.2">
      <c r="A358" s="590"/>
      <c r="B358" s="590">
        <f t="shared" ref="B358:N358" si="78">+B330</f>
        <v>2017</v>
      </c>
      <c r="C358" s="590">
        <f t="shared" si="78"/>
        <v>2016</v>
      </c>
      <c r="D358" s="590">
        <f t="shared" si="78"/>
        <v>2015</v>
      </c>
      <c r="E358" s="590" t="str">
        <f t="shared" si="78"/>
        <v>2014 comp</v>
      </c>
      <c r="F358" s="590" t="str">
        <f t="shared" si="78"/>
        <v>2013 CXD</v>
      </c>
      <c r="G358" s="590" t="str">
        <f t="shared" si="78"/>
        <v>2012 CD</v>
      </c>
      <c r="H358" s="590" t="str">
        <f t="shared" si="78"/>
        <v>2011 CD</v>
      </c>
      <c r="I358" s="590">
        <f t="shared" si="78"/>
        <v>2010</v>
      </c>
      <c r="J358" s="590">
        <f t="shared" si="78"/>
        <v>2009</v>
      </c>
      <c r="K358" s="590">
        <f t="shared" si="78"/>
        <v>2008</v>
      </c>
      <c r="L358" s="590">
        <f t="shared" si="78"/>
        <v>2007</v>
      </c>
      <c r="M358" s="590">
        <f t="shared" si="78"/>
        <v>2006</v>
      </c>
      <c r="N358" s="590">
        <f t="shared" si="78"/>
        <v>2005</v>
      </c>
    </row>
    <row r="359" spans="1:14" x14ac:dyDescent="0.2">
      <c r="A359" s="674" t="s">
        <v>190</v>
      </c>
      <c r="B359" s="588" t="s">
        <v>560</v>
      </c>
      <c r="C359" s="588" t="s">
        <v>560</v>
      </c>
      <c r="D359" s="588" t="s">
        <v>560</v>
      </c>
      <c r="E359" s="588" t="s">
        <v>560</v>
      </c>
      <c r="F359" s="588" t="s">
        <v>560</v>
      </c>
      <c r="G359" s="588" t="s">
        <v>560</v>
      </c>
      <c r="H359" s="588" t="s">
        <v>560</v>
      </c>
      <c r="I359" s="588" t="s">
        <v>560</v>
      </c>
      <c r="J359" s="588" t="s">
        <v>560</v>
      </c>
      <c r="K359" s="588" t="s">
        <v>560</v>
      </c>
      <c r="L359" s="588" t="s">
        <v>560</v>
      </c>
      <c r="M359" s="588" t="s">
        <v>560</v>
      </c>
      <c r="N359" s="588" t="s">
        <v>560</v>
      </c>
    </row>
    <row r="360" spans="1:14" ht="22.5" x14ac:dyDescent="0.2">
      <c r="A360" s="535" t="s">
        <v>696</v>
      </c>
      <c r="B360" s="559">
        <v>824335.66000000015</v>
      </c>
      <c r="C360" s="559">
        <v>824335.66000000015</v>
      </c>
      <c r="D360" s="697">
        <v>486339.07000000076</v>
      </c>
      <c r="E360" s="697">
        <v>924691</v>
      </c>
      <c r="F360" s="568">
        <v>299668.31000000017</v>
      </c>
      <c r="G360" s="568">
        <v>1082351.32</v>
      </c>
      <c r="H360" s="568">
        <v>380084.43999999948</v>
      </c>
      <c r="I360" s="568"/>
      <c r="J360" s="568"/>
      <c r="K360" s="568">
        <v>876547</v>
      </c>
      <c r="L360" s="568">
        <v>876547</v>
      </c>
      <c r="M360" s="715"/>
      <c r="N360" s="715"/>
    </row>
    <row r="361" spans="1:14" ht="22.5" x14ac:dyDescent="0.2">
      <c r="A361" s="535" t="s">
        <v>697</v>
      </c>
      <c r="B361" s="558"/>
      <c r="C361" s="558"/>
      <c r="D361" s="687"/>
      <c r="E361" s="687"/>
      <c r="F361" s="535"/>
      <c r="G361" s="535"/>
      <c r="H361" s="568"/>
      <c r="I361" s="568"/>
      <c r="J361" s="568"/>
      <c r="K361" s="568">
        <v>768</v>
      </c>
      <c r="L361" s="568">
        <v>768</v>
      </c>
      <c r="M361" s="721"/>
      <c r="N361" s="721"/>
    </row>
    <row r="362" spans="1:14" ht="22.5" x14ac:dyDescent="0.2">
      <c r="A362" s="535" t="s">
        <v>698</v>
      </c>
      <c r="B362" s="558"/>
      <c r="C362" s="558"/>
      <c r="D362" s="687"/>
      <c r="E362" s="687"/>
      <c r="F362" s="535"/>
      <c r="G362" s="535"/>
      <c r="H362" s="568"/>
      <c r="I362" s="568"/>
      <c r="J362" s="568"/>
      <c r="K362" s="568">
        <v>7998</v>
      </c>
      <c r="L362" s="568">
        <v>7998</v>
      </c>
      <c r="M362" s="715"/>
      <c r="N362" s="715"/>
    </row>
    <row r="363" spans="1:14" ht="22.5" x14ac:dyDescent="0.2">
      <c r="A363" s="535" t="s">
        <v>699</v>
      </c>
      <c r="B363" s="558"/>
      <c r="C363" s="558"/>
      <c r="D363" s="687"/>
      <c r="E363" s="687"/>
      <c r="F363" s="535"/>
      <c r="G363" s="535"/>
      <c r="H363" s="568"/>
      <c r="I363" s="568"/>
      <c r="J363" s="568"/>
      <c r="K363" s="568">
        <v>5323</v>
      </c>
      <c r="L363" s="568">
        <v>5323</v>
      </c>
      <c r="M363" s="721"/>
      <c r="N363" s="721"/>
    </row>
    <row r="364" spans="1:14" ht="22.5" x14ac:dyDescent="0.2">
      <c r="A364" s="535" t="s">
        <v>700</v>
      </c>
      <c r="B364" s="558"/>
      <c r="C364" s="558"/>
      <c r="D364" s="687"/>
      <c r="E364" s="687"/>
      <c r="F364" s="609"/>
      <c r="G364" s="609"/>
      <c r="H364" s="689">
        <v>1456086.6199999996</v>
      </c>
      <c r="I364" s="689"/>
      <c r="J364" s="689"/>
      <c r="K364" s="568">
        <v>789</v>
      </c>
      <c r="L364" s="689">
        <v>789</v>
      </c>
      <c r="M364" s="715"/>
      <c r="N364" s="715"/>
    </row>
    <row r="365" spans="1:14" ht="22.5" x14ac:dyDescent="0.2">
      <c r="A365" s="535" t="s">
        <v>701</v>
      </c>
      <c r="B365" s="559">
        <v>1267591.6400000015</v>
      </c>
      <c r="C365" s="559">
        <v>1267591.6400000015</v>
      </c>
      <c r="D365" s="563">
        <v>2667193.88</v>
      </c>
      <c r="E365" s="563">
        <v>2088083</v>
      </c>
      <c r="F365" s="689">
        <v>1759949.5399999998</v>
      </c>
      <c r="G365" s="689">
        <v>50362.679999999993</v>
      </c>
      <c r="H365" s="689">
        <v>59311.289999999979</v>
      </c>
      <c r="I365" s="689"/>
      <c r="J365" s="689"/>
      <c r="K365" s="568">
        <v>876543</v>
      </c>
      <c r="L365" s="689">
        <v>876543</v>
      </c>
      <c r="M365" s="714"/>
      <c r="N365" s="714"/>
    </row>
    <row r="366" spans="1:14" ht="22.5" x14ac:dyDescent="0.2">
      <c r="A366" s="562" t="s">
        <v>702</v>
      </c>
      <c r="B366" s="644">
        <f>SUM(B364:B365)</f>
        <v>1267591.6400000015</v>
      </c>
      <c r="C366" s="644">
        <v>1267591.6400000015</v>
      </c>
      <c r="D366" s="645">
        <f>SUM(D364:D365)</f>
        <v>2667193.88</v>
      </c>
      <c r="E366" s="645">
        <f>SUM(E364:E365)</f>
        <v>2088083</v>
      </c>
      <c r="F366" s="717">
        <v>1759949.5399999998</v>
      </c>
      <c r="G366" s="717">
        <v>50362.679999999993</v>
      </c>
      <c r="H366" s="717">
        <v>1515397.9099999997</v>
      </c>
      <c r="I366" s="717"/>
      <c r="J366" s="717"/>
      <c r="K366" s="644">
        <v>877332</v>
      </c>
      <c r="L366" s="717">
        <v>877332</v>
      </c>
      <c r="M366" s="718"/>
      <c r="N366" s="718"/>
    </row>
    <row r="367" spans="1:14" ht="22.5" x14ac:dyDescent="0.2">
      <c r="A367" s="535" t="s">
        <v>703</v>
      </c>
      <c r="B367" s="559"/>
      <c r="C367" s="535"/>
      <c r="D367" s="687"/>
      <c r="E367" s="687"/>
      <c r="F367" s="609"/>
      <c r="G367" s="609"/>
      <c r="H367" s="719"/>
      <c r="I367" s="719"/>
      <c r="J367" s="719"/>
      <c r="K367" s="720">
        <v>678</v>
      </c>
      <c r="L367" s="719">
        <v>678</v>
      </c>
      <c r="M367" s="718"/>
      <c r="N367" s="718"/>
    </row>
    <row r="368" spans="1:14" ht="22.5" x14ac:dyDescent="0.2">
      <c r="A368" s="535" t="s">
        <v>704</v>
      </c>
      <c r="B368" s="559"/>
      <c r="C368" s="535"/>
      <c r="D368" s="687"/>
      <c r="E368" s="687"/>
      <c r="F368" s="609"/>
      <c r="G368" s="609"/>
      <c r="H368" s="719"/>
      <c r="I368" s="719"/>
      <c r="J368" s="719"/>
      <c r="K368" s="720">
        <v>67890</v>
      </c>
      <c r="L368" s="719">
        <v>67890</v>
      </c>
      <c r="M368" s="718"/>
      <c r="N368" s="718"/>
    </row>
    <row r="369" spans="1:20" ht="22.5" x14ac:dyDescent="0.2">
      <c r="A369" s="562" t="s">
        <v>705</v>
      </c>
      <c r="B369" s="644">
        <f>SUM(B367:B368)</f>
        <v>0</v>
      </c>
      <c r="C369" s="644">
        <v>0</v>
      </c>
      <c r="D369" s="645">
        <v>0</v>
      </c>
      <c r="E369" s="645">
        <f>SUM(E367:E368)</f>
        <v>0</v>
      </c>
      <c r="F369" s="717">
        <v>0</v>
      </c>
      <c r="G369" s="717">
        <v>0</v>
      </c>
      <c r="H369" s="717">
        <v>0</v>
      </c>
      <c r="I369" s="717"/>
      <c r="J369" s="717">
        <v>0</v>
      </c>
      <c r="K369" s="644">
        <v>68568</v>
      </c>
      <c r="L369" s="717">
        <v>68568</v>
      </c>
      <c r="M369" s="716"/>
      <c r="N369" s="716"/>
    </row>
    <row r="370" spans="1:20" x14ac:dyDescent="0.2">
      <c r="A370" s="535" t="s">
        <v>191</v>
      </c>
      <c r="B370" s="559">
        <v>158487.51999999999</v>
      </c>
      <c r="C370" s="559">
        <v>158487.51999999999</v>
      </c>
      <c r="D370" s="563">
        <v>204269.19000000003</v>
      </c>
      <c r="E370" s="563">
        <v>219368.75862068965</v>
      </c>
      <c r="F370" s="705">
        <v>99931.97</v>
      </c>
      <c r="G370" s="568">
        <v>53180.609999999993</v>
      </c>
      <c r="H370" s="568">
        <v>6321.9999999999854</v>
      </c>
      <c r="I370" s="568"/>
      <c r="J370" s="568"/>
      <c r="K370" s="568">
        <v>789</v>
      </c>
      <c r="L370" s="568">
        <v>789</v>
      </c>
      <c r="M370" s="685"/>
      <c r="N370" s="685"/>
      <c r="T370" s="529" t="s">
        <v>922</v>
      </c>
    </row>
    <row r="371" spans="1:20" x14ac:dyDescent="0.2">
      <c r="A371" s="535" t="s">
        <v>706</v>
      </c>
      <c r="B371" s="568"/>
      <c r="C371" s="568"/>
      <c r="D371" s="563"/>
      <c r="E371" s="563"/>
      <c r="F371" s="535"/>
      <c r="G371" s="535"/>
      <c r="H371" s="568"/>
      <c r="I371" s="568"/>
      <c r="J371" s="568"/>
      <c r="K371" s="568">
        <v>890</v>
      </c>
      <c r="L371" s="568">
        <v>890</v>
      </c>
      <c r="M371" s="568"/>
      <c r="N371" s="568"/>
    </row>
    <row r="372" spans="1:20" x14ac:dyDescent="0.2">
      <c r="A372" s="535" t="s">
        <v>192</v>
      </c>
      <c r="B372" s="559">
        <v>254430.93999999997</v>
      </c>
      <c r="C372" s="559">
        <v>254430.93999999997</v>
      </c>
      <c r="D372" s="697">
        <v>149824</v>
      </c>
      <c r="E372" s="563">
        <f>232219.610855172-2214</f>
        <v>230005.61085517201</v>
      </c>
      <c r="F372" s="568">
        <v>209209.84</v>
      </c>
      <c r="G372" s="568">
        <v>25741.200000000001</v>
      </c>
      <c r="H372" s="568">
        <v>2591.1999999999998</v>
      </c>
      <c r="I372" s="568"/>
      <c r="J372" s="568"/>
      <c r="K372" s="568">
        <v>34567</v>
      </c>
      <c r="L372" s="568">
        <v>34567</v>
      </c>
      <c r="M372" s="568"/>
      <c r="N372" s="568"/>
      <c r="T372" s="667"/>
    </row>
    <row r="373" spans="1:20" s="629" customFormat="1" x14ac:dyDescent="0.2">
      <c r="A373" s="626" t="s">
        <v>193</v>
      </c>
      <c r="B373" s="560"/>
      <c r="C373" s="560"/>
      <c r="D373" s="637"/>
      <c r="E373" s="637"/>
      <c r="F373" s="626"/>
      <c r="G373" s="626"/>
      <c r="H373" s="665"/>
      <c r="I373" s="665"/>
      <c r="J373" s="665"/>
      <c r="K373" s="665"/>
      <c r="L373" s="665"/>
      <c r="M373" s="665"/>
      <c r="N373" s="665"/>
    </row>
    <row r="374" spans="1:20" x14ac:dyDescent="0.2">
      <c r="A374" s="535" t="s">
        <v>707</v>
      </c>
      <c r="B374" s="535"/>
      <c r="C374" s="535"/>
      <c r="D374" s="687"/>
      <c r="E374" s="687"/>
      <c r="F374" s="609"/>
      <c r="G374" s="609"/>
      <c r="H374" s="689"/>
      <c r="I374" s="689"/>
      <c r="J374" s="689"/>
      <c r="K374" s="568">
        <v>6789</v>
      </c>
      <c r="L374" s="689">
        <v>6789</v>
      </c>
      <c r="M374" s="715"/>
      <c r="N374" s="715"/>
    </row>
    <row r="375" spans="1:20" x14ac:dyDescent="0.2">
      <c r="A375" s="535" t="s">
        <v>708</v>
      </c>
      <c r="B375" s="535"/>
      <c r="C375" s="535"/>
      <c r="D375" s="687"/>
      <c r="E375" s="687"/>
      <c r="F375" s="609"/>
      <c r="G375" s="609"/>
      <c r="H375" s="689"/>
      <c r="I375" s="689"/>
      <c r="J375" s="689"/>
      <c r="K375" s="568">
        <v>6789</v>
      </c>
      <c r="L375" s="689">
        <v>6789</v>
      </c>
      <c r="M375" s="714"/>
      <c r="N375" s="714"/>
    </row>
    <row r="376" spans="1:20" x14ac:dyDescent="0.2">
      <c r="A376" s="562" t="s">
        <v>709</v>
      </c>
      <c r="B376" s="644">
        <f t="shared" ref="B376" si="79">SUM(B374:B375,)</f>
        <v>0</v>
      </c>
      <c r="C376" s="644">
        <f t="shared" ref="C376:N376" si="80">SUM(C374:C375,)</f>
        <v>0</v>
      </c>
      <c r="D376" s="644">
        <f t="shared" si="80"/>
        <v>0</v>
      </c>
      <c r="E376" s="644">
        <f t="shared" si="80"/>
        <v>0</v>
      </c>
      <c r="F376" s="644">
        <f t="shared" si="80"/>
        <v>0</v>
      </c>
      <c r="G376" s="644">
        <f t="shared" si="80"/>
        <v>0</v>
      </c>
      <c r="H376" s="644">
        <f t="shared" si="80"/>
        <v>0</v>
      </c>
      <c r="I376" s="644">
        <f t="shared" si="80"/>
        <v>0</v>
      </c>
      <c r="J376" s="644">
        <f t="shared" si="80"/>
        <v>0</v>
      </c>
      <c r="K376" s="644">
        <f t="shared" si="80"/>
        <v>13578</v>
      </c>
      <c r="L376" s="644">
        <f t="shared" si="80"/>
        <v>13578</v>
      </c>
      <c r="M376" s="644">
        <f t="shared" si="80"/>
        <v>0</v>
      </c>
      <c r="N376" s="644">
        <f t="shared" si="80"/>
        <v>0</v>
      </c>
    </row>
    <row r="377" spans="1:20" x14ac:dyDescent="0.2">
      <c r="A377" s="535" t="s">
        <v>194</v>
      </c>
      <c r="B377" s="535"/>
      <c r="C377" s="535"/>
      <c r="D377" s="687"/>
      <c r="E377" s="687"/>
      <c r="F377" s="535"/>
      <c r="G377" s="535"/>
      <c r="H377" s="568"/>
      <c r="I377" s="568"/>
      <c r="J377" s="568"/>
      <c r="K377" s="568">
        <v>889900</v>
      </c>
      <c r="L377" s="568">
        <v>889900</v>
      </c>
      <c r="M377" s="685"/>
      <c r="N377" s="685"/>
    </row>
    <row r="378" spans="1:20" x14ac:dyDescent="0.2">
      <c r="A378" s="535" t="s">
        <v>101</v>
      </c>
      <c r="B378" s="535"/>
      <c r="C378" s="535"/>
      <c r="D378" s="687"/>
      <c r="E378" s="687"/>
      <c r="F378" s="535"/>
      <c r="G378" s="535"/>
      <c r="H378" s="568"/>
      <c r="I378" s="568"/>
      <c r="J378" s="568"/>
      <c r="K378" s="568">
        <v>8765</v>
      </c>
      <c r="L378" s="568">
        <v>8765</v>
      </c>
      <c r="M378" s="568"/>
      <c r="N378" s="568"/>
    </row>
    <row r="379" spans="1:20" x14ac:dyDescent="0.2">
      <c r="A379" s="535" t="s">
        <v>710</v>
      </c>
      <c r="B379" s="535"/>
      <c r="C379" s="535"/>
      <c r="D379" s="687"/>
      <c r="E379" s="687"/>
      <c r="F379" s="535"/>
      <c r="G379" s="535"/>
      <c r="H379" s="568"/>
      <c r="I379" s="568"/>
      <c r="J379" s="568"/>
      <c r="K379" s="568">
        <v>78999</v>
      </c>
      <c r="L379" s="568">
        <v>78999</v>
      </c>
      <c r="M379" s="713"/>
      <c r="N379" s="713"/>
    </row>
    <row r="380" spans="1:20" x14ac:dyDescent="0.2">
      <c r="A380" s="535" t="s">
        <v>102</v>
      </c>
      <c r="B380" s="535"/>
      <c r="C380" s="535"/>
      <c r="D380" s="687"/>
      <c r="E380" s="687"/>
      <c r="F380" s="568"/>
      <c r="G380" s="568"/>
      <c r="H380" s="568"/>
      <c r="I380" s="568"/>
      <c r="J380" s="568"/>
      <c r="K380" s="568">
        <v>3456</v>
      </c>
      <c r="L380" s="568">
        <v>3456</v>
      </c>
      <c r="M380" s="568"/>
      <c r="N380" s="568"/>
    </row>
    <row r="381" spans="1:20" x14ac:dyDescent="0.2">
      <c r="A381" s="535" t="s">
        <v>103</v>
      </c>
      <c r="B381" s="568">
        <v>4911.21</v>
      </c>
      <c r="C381" s="568">
        <v>4911.21</v>
      </c>
      <c r="D381" s="563">
        <v>4911.21</v>
      </c>
      <c r="E381" s="563">
        <v>4911.21</v>
      </c>
      <c r="F381" s="568">
        <v>4911.21</v>
      </c>
      <c r="G381" s="568">
        <v>4911.21</v>
      </c>
      <c r="H381" s="568"/>
      <c r="I381" s="568"/>
      <c r="J381" s="568"/>
      <c r="K381" s="568">
        <v>2345</v>
      </c>
      <c r="L381" s="568">
        <v>2345</v>
      </c>
      <c r="M381" s="568"/>
      <c r="N381" s="568"/>
    </row>
    <row r="382" spans="1:20" x14ac:dyDescent="0.2">
      <c r="A382" s="535" t="s">
        <v>568</v>
      </c>
      <c r="B382" s="568">
        <v>19739.66</v>
      </c>
      <c r="C382" s="568">
        <v>19739.66</v>
      </c>
      <c r="D382" s="563">
        <v>19739.66</v>
      </c>
      <c r="E382" s="563">
        <v>19739.66</v>
      </c>
      <c r="F382" s="568">
        <v>19739.66</v>
      </c>
      <c r="G382" s="568">
        <v>10257.76</v>
      </c>
      <c r="H382" s="568">
        <v>740240</v>
      </c>
      <c r="I382" s="568"/>
      <c r="J382" s="568"/>
      <c r="K382" s="568">
        <v>76543</v>
      </c>
      <c r="L382" s="568">
        <v>76543</v>
      </c>
      <c r="M382" s="713"/>
      <c r="N382" s="713"/>
      <c r="T382" s="667"/>
    </row>
    <row r="383" spans="1:20" x14ac:dyDescent="0.2">
      <c r="A383" s="535" t="s">
        <v>195</v>
      </c>
      <c r="B383" s="568"/>
      <c r="C383" s="568"/>
      <c r="D383" s="563">
        <v>175000</v>
      </c>
      <c r="E383" s="563">
        <v>312340.87</v>
      </c>
      <c r="F383" s="568">
        <v>643790.43999999994</v>
      </c>
      <c r="G383" s="568">
        <v>915240</v>
      </c>
      <c r="H383" s="568"/>
      <c r="I383" s="568"/>
      <c r="J383" s="568"/>
      <c r="K383" s="568">
        <v>5678</v>
      </c>
      <c r="L383" s="568">
        <v>5678</v>
      </c>
      <c r="M383" s="568"/>
      <c r="N383" s="568"/>
    </row>
    <row r="384" spans="1:20" x14ac:dyDescent="0.2">
      <c r="A384" s="535" t="s">
        <v>196</v>
      </c>
      <c r="B384" s="535"/>
      <c r="C384" s="535"/>
      <c r="D384" s="687"/>
      <c r="E384" s="687">
        <v>0</v>
      </c>
      <c r="F384" s="568">
        <v>0</v>
      </c>
      <c r="G384" s="568">
        <v>258.62</v>
      </c>
      <c r="H384" s="568"/>
      <c r="I384" s="568"/>
      <c r="J384" s="568"/>
      <c r="K384" s="568">
        <v>234567</v>
      </c>
      <c r="L384" s="568">
        <v>234567</v>
      </c>
      <c r="M384" s="568"/>
      <c r="N384" s="568"/>
    </row>
    <row r="385" spans="1:20" x14ac:dyDescent="0.2">
      <c r="A385" s="535" t="s">
        <v>197</v>
      </c>
      <c r="B385" s="568">
        <v>-24650.890000000014</v>
      </c>
      <c r="C385" s="568">
        <v>-24650.890000000014</v>
      </c>
      <c r="D385" s="563">
        <v>-199650.89</v>
      </c>
      <c r="E385" s="563">
        <v>-286465.80333333334</v>
      </c>
      <c r="F385" s="563">
        <v>-466455.05550000007</v>
      </c>
      <c r="G385" s="563">
        <v>-548765.24</v>
      </c>
      <c r="H385" s="563">
        <v>-368147.63</v>
      </c>
      <c r="I385" s="563"/>
      <c r="J385" s="563"/>
      <c r="K385" s="563">
        <v>-6789</v>
      </c>
      <c r="L385" s="563">
        <v>-6789</v>
      </c>
      <c r="M385" s="568"/>
      <c r="N385" s="568"/>
      <c r="S385" s="667"/>
    </row>
    <row r="386" spans="1:20" x14ac:dyDescent="0.2">
      <c r="A386" s="535" t="s">
        <v>198</v>
      </c>
      <c r="B386" s="535"/>
      <c r="C386" s="535"/>
      <c r="D386" s="687"/>
      <c r="E386" s="687"/>
      <c r="F386" s="568">
        <v>258.62</v>
      </c>
      <c r="G386" s="568">
        <v>96005.81</v>
      </c>
      <c r="H386" s="568"/>
      <c r="I386" s="568"/>
      <c r="J386" s="568"/>
      <c r="K386" s="568">
        <v>78000</v>
      </c>
      <c r="L386" s="568">
        <v>78000</v>
      </c>
      <c r="M386" s="568"/>
      <c r="N386" s="568"/>
      <c r="S386" s="667"/>
    </row>
    <row r="387" spans="1:20" x14ac:dyDescent="0.2">
      <c r="A387" s="535" t="s">
        <v>199</v>
      </c>
      <c r="B387" s="535"/>
      <c r="C387" s="535"/>
      <c r="D387" s="687"/>
      <c r="E387" s="687"/>
      <c r="F387" s="535"/>
      <c r="G387" s="535"/>
      <c r="H387" s="563"/>
      <c r="I387" s="563"/>
      <c r="J387" s="563"/>
      <c r="K387" s="563">
        <v>-67888</v>
      </c>
      <c r="L387" s="563">
        <v>-67888</v>
      </c>
      <c r="M387" s="568"/>
      <c r="N387" s="568"/>
    </row>
    <row r="388" spans="1:20" x14ac:dyDescent="0.2">
      <c r="A388" s="712" t="s">
        <v>200</v>
      </c>
      <c r="B388" s="711">
        <f t="shared" ref="B388" si="81">(SUM(B369,B370:B372,B376,B377:B387)+B366)+SUM(B360:B361,B362:B363)</f>
        <v>2504845.7400000016</v>
      </c>
      <c r="C388" s="711">
        <f t="shared" ref="C388:N388" si="82">(SUM(C369,C370:C372,C376,C377:C387)+C366)+SUM(C360:C361,C362:C363)</f>
        <v>2504845.7400000016</v>
      </c>
      <c r="D388" s="711">
        <f t="shared" si="82"/>
        <v>3507626.1200000006</v>
      </c>
      <c r="E388" s="711">
        <f t="shared" si="82"/>
        <v>3512674.3061425285</v>
      </c>
      <c r="F388" s="711">
        <f t="shared" si="82"/>
        <v>2571004.5344999996</v>
      </c>
      <c r="G388" s="711">
        <f t="shared" si="82"/>
        <v>1689543.97</v>
      </c>
      <c r="H388" s="711">
        <f t="shared" si="82"/>
        <v>2276487.919999999</v>
      </c>
      <c r="I388" s="711">
        <f t="shared" si="82"/>
        <v>0</v>
      </c>
      <c r="J388" s="711">
        <f t="shared" si="82"/>
        <v>0</v>
      </c>
      <c r="K388" s="711">
        <f t="shared" si="82"/>
        <v>3189936</v>
      </c>
      <c r="L388" s="711">
        <f t="shared" si="82"/>
        <v>3189936</v>
      </c>
      <c r="M388" s="711">
        <f t="shared" si="82"/>
        <v>0</v>
      </c>
      <c r="N388" s="711">
        <f t="shared" si="82"/>
        <v>0</v>
      </c>
    </row>
    <row r="389" spans="1:20" ht="22.5" x14ac:dyDescent="0.2">
      <c r="A389" s="535" t="s">
        <v>711</v>
      </c>
      <c r="B389" s="535"/>
      <c r="C389" s="535"/>
      <c r="D389" s="687"/>
      <c r="E389" s="687"/>
      <c r="F389" s="609"/>
      <c r="G389" s="609"/>
      <c r="H389" s="689">
        <v>800263.16</v>
      </c>
      <c r="I389" s="689"/>
      <c r="J389" s="689"/>
      <c r="K389" s="568">
        <v>23456</v>
      </c>
      <c r="L389" s="689">
        <v>23456</v>
      </c>
      <c r="M389" s="691"/>
      <c r="N389" s="691"/>
    </row>
    <row r="390" spans="1:20" ht="22.5" x14ac:dyDescent="0.2">
      <c r="A390" s="535" t="s">
        <v>712</v>
      </c>
      <c r="B390" s="700">
        <v>834762.31</v>
      </c>
      <c r="C390" s="700">
        <v>834763.31</v>
      </c>
      <c r="D390" s="699">
        <v>427768</v>
      </c>
      <c r="E390" s="692"/>
      <c r="F390" s="710">
        <v>1191895.6099999999</v>
      </c>
      <c r="G390" s="689">
        <v>186620.43000000005</v>
      </c>
      <c r="H390" s="689">
        <v>18786.2</v>
      </c>
      <c r="I390" s="689"/>
      <c r="J390" s="689"/>
      <c r="K390" s="568">
        <v>3457</v>
      </c>
      <c r="L390" s="689">
        <v>3457</v>
      </c>
      <c r="M390" s="709"/>
      <c r="N390" s="709"/>
    </row>
    <row r="391" spans="1:20" ht="22.5" x14ac:dyDescent="0.2">
      <c r="A391" s="562" t="s">
        <v>713</v>
      </c>
      <c r="B391" s="644">
        <f t="shared" ref="B391" si="83">SUM(B389:B390)</f>
        <v>834762.31</v>
      </c>
      <c r="C391" s="644">
        <f t="shared" ref="C391:N391" si="84">SUM(C389:C390)</f>
        <v>834763.31</v>
      </c>
      <c r="D391" s="644">
        <f t="shared" si="84"/>
        <v>427768</v>
      </c>
      <c r="E391" s="644">
        <f t="shared" si="84"/>
        <v>0</v>
      </c>
      <c r="F391" s="644">
        <f t="shared" si="84"/>
        <v>1191895.6099999999</v>
      </c>
      <c r="G391" s="644">
        <f t="shared" si="84"/>
        <v>186620.43000000005</v>
      </c>
      <c r="H391" s="644">
        <f t="shared" si="84"/>
        <v>819049.36</v>
      </c>
      <c r="I391" s="644">
        <f t="shared" si="84"/>
        <v>0</v>
      </c>
      <c r="J391" s="644">
        <f t="shared" si="84"/>
        <v>0</v>
      </c>
      <c r="K391" s="644">
        <f t="shared" si="84"/>
        <v>26913</v>
      </c>
      <c r="L391" s="644">
        <f t="shared" si="84"/>
        <v>26913</v>
      </c>
      <c r="M391" s="644">
        <f t="shared" si="84"/>
        <v>0</v>
      </c>
      <c r="N391" s="644">
        <f t="shared" si="84"/>
        <v>0</v>
      </c>
    </row>
    <row r="392" spans="1:20" ht="22.5" x14ac:dyDescent="0.2">
      <c r="A392" s="535" t="s">
        <v>714</v>
      </c>
      <c r="B392" s="535"/>
      <c r="C392" s="535"/>
      <c r="D392" s="687"/>
      <c r="E392" s="692"/>
      <c r="F392" s="609"/>
      <c r="G392" s="609"/>
      <c r="H392" s="689"/>
      <c r="I392" s="689"/>
      <c r="J392" s="689"/>
      <c r="K392" s="568">
        <v>458</v>
      </c>
      <c r="L392" s="689">
        <v>458</v>
      </c>
      <c r="M392" s="709"/>
      <c r="N392" s="709"/>
    </row>
    <row r="393" spans="1:20" ht="22.5" x14ac:dyDescent="0.2">
      <c r="A393" s="535" t="s">
        <v>715</v>
      </c>
      <c r="B393" s="535"/>
      <c r="C393" s="535"/>
      <c r="D393" s="687"/>
      <c r="E393" s="687"/>
      <c r="F393" s="609"/>
      <c r="G393" s="609"/>
      <c r="H393" s="689"/>
      <c r="I393" s="689"/>
      <c r="J393" s="689"/>
      <c r="K393" s="568">
        <v>3456</v>
      </c>
      <c r="L393" s="689">
        <v>3456</v>
      </c>
      <c r="M393" s="709"/>
      <c r="N393" s="709"/>
    </row>
    <row r="394" spans="1:20" ht="22.5" x14ac:dyDescent="0.2">
      <c r="A394" s="562" t="s">
        <v>716</v>
      </c>
      <c r="B394" s="562">
        <f t="shared" ref="B394" si="85">+B392+B393</f>
        <v>0</v>
      </c>
      <c r="C394" s="562">
        <f t="shared" ref="C394:N394" si="86">+C392+C393</f>
        <v>0</v>
      </c>
      <c r="D394" s="562">
        <f t="shared" si="86"/>
        <v>0</v>
      </c>
      <c r="E394" s="562">
        <f t="shared" si="86"/>
        <v>0</v>
      </c>
      <c r="F394" s="562">
        <f t="shared" si="86"/>
        <v>0</v>
      </c>
      <c r="G394" s="562">
        <f t="shared" si="86"/>
        <v>0</v>
      </c>
      <c r="H394" s="562">
        <f t="shared" si="86"/>
        <v>0</v>
      </c>
      <c r="I394" s="562">
        <f t="shared" si="86"/>
        <v>0</v>
      </c>
      <c r="J394" s="562">
        <f t="shared" si="86"/>
        <v>0</v>
      </c>
      <c r="K394" s="562">
        <f t="shared" si="86"/>
        <v>3914</v>
      </c>
      <c r="L394" s="562">
        <f t="shared" si="86"/>
        <v>3914</v>
      </c>
      <c r="M394" s="562">
        <f t="shared" si="86"/>
        <v>0</v>
      </c>
      <c r="N394" s="562">
        <f t="shared" si="86"/>
        <v>0</v>
      </c>
    </row>
    <row r="395" spans="1:20" x14ac:dyDescent="0.2">
      <c r="A395" s="609" t="s">
        <v>201</v>
      </c>
      <c r="B395" s="559">
        <v>846643.15999999922</v>
      </c>
      <c r="C395" s="559">
        <v>846643.15999999922</v>
      </c>
      <c r="D395" s="697">
        <v>1806567.9100000004</v>
      </c>
      <c r="E395" s="563">
        <v>1161184</v>
      </c>
      <c r="F395" s="689">
        <v>500165.1</v>
      </c>
      <c r="G395" s="689">
        <v>474595.01</v>
      </c>
      <c r="H395" s="559">
        <v>549746.6</v>
      </c>
      <c r="I395" s="559"/>
      <c r="J395" s="559"/>
      <c r="K395" s="559">
        <v>5678</v>
      </c>
      <c r="L395" s="559">
        <v>5678</v>
      </c>
      <c r="M395" s="708"/>
      <c r="N395" s="708"/>
      <c r="S395" s="667"/>
    </row>
    <row r="396" spans="1:20" x14ac:dyDescent="0.2">
      <c r="A396" s="535" t="s">
        <v>717</v>
      </c>
      <c r="B396" s="535"/>
      <c r="C396" s="535"/>
      <c r="D396" s="687"/>
      <c r="E396" s="687"/>
      <c r="F396" s="609"/>
      <c r="G396" s="609"/>
      <c r="H396" s="689"/>
      <c r="I396" s="689"/>
      <c r="J396" s="689"/>
      <c r="K396" s="568">
        <v>6789</v>
      </c>
      <c r="L396" s="689">
        <v>6789</v>
      </c>
      <c r="M396" s="707"/>
      <c r="N396" s="707"/>
    </row>
    <row r="397" spans="1:20" x14ac:dyDescent="0.2">
      <c r="A397" s="535" t="s">
        <v>718</v>
      </c>
      <c r="B397" s="535"/>
      <c r="C397" s="535"/>
      <c r="D397" s="687"/>
      <c r="E397" s="687"/>
      <c r="F397" s="609"/>
      <c r="G397" s="609"/>
      <c r="H397" s="689"/>
      <c r="I397" s="689"/>
      <c r="J397" s="689"/>
      <c r="K397" s="568">
        <v>89</v>
      </c>
      <c r="L397" s="689">
        <v>89</v>
      </c>
      <c r="M397" s="706"/>
      <c r="N397" s="706"/>
    </row>
    <row r="398" spans="1:20" x14ac:dyDescent="0.2">
      <c r="A398" s="535" t="s">
        <v>208</v>
      </c>
      <c r="B398" s="535"/>
      <c r="C398" s="535"/>
      <c r="D398" s="687"/>
      <c r="E398" s="687"/>
      <c r="F398" s="609"/>
      <c r="G398" s="609"/>
      <c r="H398" s="689"/>
      <c r="I398" s="689"/>
      <c r="J398" s="689"/>
      <c r="K398" s="568">
        <v>87654</v>
      </c>
      <c r="L398" s="689">
        <v>87654</v>
      </c>
      <c r="M398" s="688"/>
      <c r="N398" s="688"/>
      <c r="T398" s="529" t="s">
        <v>922</v>
      </c>
    </row>
    <row r="399" spans="1:20" x14ac:dyDescent="0.2">
      <c r="A399" s="535" t="s">
        <v>202</v>
      </c>
      <c r="B399" s="568">
        <v>549870.02000000048</v>
      </c>
      <c r="C399" s="568">
        <v>549870.02000000048</v>
      </c>
      <c r="D399" s="563">
        <v>1058419.5899999999</v>
      </c>
      <c r="E399" s="563">
        <v>826445.05</v>
      </c>
      <c r="F399" s="705">
        <v>651613.85</v>
      </c>
      <c r="G399" s="568">
        <v>476172.56</v>
      </c>
      <c r="H399" s="568">
        <v>355891.71330067189</v>
      </c>
      <c r="I399" s="568"/>
      <c r="J399" s="568"/>
      <c r="K399" s="568">
        <v>1487545</v>
      </c>
      <c r="L399" s="568">
        <v>1487545</v>
      </c>
      <c r="M399" s="685"/>
      <c r="N399" s="685"/>
    </row>
    <row r="400" spans="1:20" x14ac:dyDescent="0.2">
      <c r="A400" s="562" t="s">
        <v>203</v>
      </c>
      <c r="B400" s="644">
        <f t="shared" ref="B400" si="87">+B391+B394+B395+B399</f>
        <v>2231275.4899999998</v>
      </c>
      <c r="C400" s="644">
        <f t="shared" ref="C400:N400" si="88">+C391+C394+C395+C399</f>
        <v>2231276.4899999998</v>
      </c>
      <c r="D400" s="644">
        <f t="shared" si="88"/>
        <v>3292755.5</v>
      </c>
      <c r="E400" s="644">
        <f t="shared" si="88"/>
        <v>1987629.05</v>
      </c>
      <c r="F400" s="644">
        <f t="shared" si="88"/>
        <v>2343674.56</v>
      </c>
      <c r="G400" s="644">
        <f t="shared" si="88"/>
        <v>1137388</v>
      </c>
      <c r="H400" s="644">
        <f t="shared" si="88"/>
        <v>1724687.6733006719</v>
      </c>
      <c r="I400" s="644">
        <f t="shared" si="88"/>
        <v>0</v>
      </c>
      <c r="J400" s="644">
        <f t="shared" si="88"/>
        <v>0</v>
      </c>
      <c r="K400" s="644">
        <f t="shared" si="88"/>
        <v>1524050</v>
      </c>
      <c r="L400" s="644">
        <f t="shared" si="88"/>
        <v>1524050</v>
      </c>
      <c r="M400" s="644">
        <f t="shared" si="88"/>
        <v>0</v>
      </c>
      <c r="N400" s="644">
        <f t="shared" si="88"/>
        <v>0</v>
      </c>
      <c r="T400" s="667"/>
    </row>
    <row r="401" spans="1:21" x14ac:dyDescent="0.2">
      <c r="A401" s="535" t="s">
        <v>204</v>
      </c>
      <c r="B401" s="704">
        <v>100000</v>
      </c>
      <c r="C401" s="704">
        <v>100000</v>
      </c>
      <c r="D401" s="703">
        <v>100000</v>
      </c>
      <c r="E401" s="563">
        <v>100000</v>
      </c>
      <c r="F401" s="568">
        <v>100000</v>
      </c>
      <c r="G401" s="568">
        <v>100000</v>
      </c>
      <c r="H401" s="568">
        <v>118497</v>
      </c>
      <c r="I401" s="568"/>
      <c r="J401" s="568"/>
      <c r="K401" s="568">
        <v>60000</v>
      </c>
      <c r="L401" s="568">
        <v>60000</v>
      </c>
      <c r="M401" s="568"/>
      <c r="N401" s="568"/>
    </row>
    <row r="402" spans="1:21" x14ac:dyDescent="0.2">
      <c r="A402" s="535" t="s">
        <v>205</v>
      </c>
      <c r="B402" s="535"/>
      <c r="C402" s="535"/>
      <c r="D402" s="687"/>
      <c r="E402" s="687"/>
      <c r="F402" s="535"/>
      <c r="G402" s="535"/>
      <c r="H402" s="568"/>
      <c r="I402" s="568"/>
      <c r="J402" s="568"/>
      <c r="K402" s="568"/>
      <c r="L402" s="568"/>
      <c r="M402" s="568"/>
      <c r="N402" s="568"/>
      <c r="U402" s="702"/>
    </row>
    <row r="403" spans="1:21" x14ac:dyDescent="0.2">
      <c r="A403" s="535" t="s">
        <v>206</v>
      </c>
      <c r="B403" s="535"/>
      <c r="C403" s="535"/>
      <c r="D403" s="687"/>
      <c r="E403" s="687"/>
      <c r="F403" s="535"/>
      <c r="G403" s="535"/>
      <c r="H403" s="568"/>
      <c r="I403" s="568"/>
      <c r="J403" s="568"/>
      <c r="K403" s="568">
        <v>10000</v>
      </c>
      <c r="L403" s="568">
        <v>10000</v>
      </c>
      <c r="M403" s="568"/>
      <c r="N403" s="568"/>
      <c r="T403" s="667"/>
      <c r="U403" s="702"/>
    </row>
    <row r="404" spans="1:21" x14ac:dyDescent="0.2">
      <c r="A404" s="535" t="s">
        <v>207</v>
      </c>
      <c r="B404" s="535"/>
      <c r="C404" s="535"/>
      <c r="D404" s="687"/>
      <c r="E404" s="687"/>
      <c r="F404" s="535"/>
      <c r="G404" s="535"/>
      <c r="H404" s="568"/>
      <c r="I404" s="568"/>
      <c r="J404" s="568"/>
      <c r="K404" s="568"/>
      <c r="L404" s="568"/>
      <c r="M404" s="568"/>
      <c r="N404" s="568"/>
      <c r="U404" s="701"/>
    </row>
    <row r="405" spans="1:21" x14ac:dyDescent="0.2">
      <c r="A405" s="535" t="s">
        <v>208</v>
      </c>
      <c r="B405" s="535"/>
      <c r="C405" s="535"/>
      <c r="D405" s="687"/>
      <c r="E405" s="687"/>
      <c r="F405" s="535"/>
      <c r="G405" s="535"/>
      <c r="H405" s="568"/>
      <c r="I405" s="568"/>
      <c r="J405" s="568"/>
      <c r="K405" s="568"/>
      <c r="L405" s="568"/>
      <c r="M405" s="568"/>
      <c r="N405" s="568"/>
    </row>
    <row r="406" spans="1:21" x14ac:dyDescent="0.2">
      <c r="A406" s="535" t="s">
        <v>209</v>
      </c>
      <c r="B406" s="700">
        <v>133566.49000000081</v>
      </c>
      <c r="C406" s="700">
        <v>133566.49000000081</v>
      </c>
      <c r="D406" s="699">
        <v>127332</v>
      </c>
      <c r="E406" s="697">
        <f>113492.91+13839</f>
        <v>127331.91</v>
      </c>
      <c r="F406" s="559">
        <v>452155.55000000005</v>
      </c>
      <c r="G406" s="568">
        <v>451785.17</v>
      </c>
      <c r="H406" s="568">
        <v>273997.26999999996</v>
      </c>
      <c r="I406" s="568"/>
      <c r="J406" s="568"/>
      <c r="K406" s="568">
        <v>773702</v>
      </c>
      <c r="L406" s="568">
        <v>773702</v>
      </c>
      <c r="M406" s="568"/>
      <c r="N406" s="568"/>
    </row>
    <row r="407" spans="1:21" x14ac:dyDescent="0.2">
      <c r="A407" s="535" t="s">
        <v>210</v>
      </c>
      <c r="B407" s="700">
        <v>58698.820000000298</v>
      </c>
      <c r="C407" s="700">
        <v>58698.820000000298</v>
      </c>
      <c r="D407" s="699">
        <v>6234.4900000008056</v>
      </c>
      <c r="E407" s="699"/>
      <c r="F407" s="559"/>
      <c r="G407" s="568">
        <v>370.73000000003958</v>
      </c>
      <c r="H407" s="610">
        <v>120963.55999999912</v>
      </c>
      <c r="I407" s="610"/>
      <c r="J407" s="610"/>
      <c r="K407" s="610">
        <v>727650</v>
      </c>
      <c r="L407" s="610">
        <v>727650</v>
      </c>
      <c r="M407" s="610">
        <v>0</v>
      </c>
      <c r="N407" s="610">
        <v>0</v>
      </c>
    </row>
    <row r="408" spans="1:21" x14ac:dyDescent="0.2">
      <c r="A408" s="535" t="s">
        <v>211</v>
      </c>
      <c r="B408" s="559">
        <v>-18695</v>
      </c>
      <c r="C408" s="559">
        <v>-18695</v>
      </c>
      <c r="D408" s="697">
        <v>-18695</v>
      </c>
      <c r="E408" s="697"/>
      <c r="F408" s="698"/>
      <c r="G408" s="568">
        <v>0</v>
      </c>
      <c r="H408" s="559"/>
      <c r="I408" s="559"/>
      <c r="J408" s="559"/>
      <c r="K408" s="559"/>
      <c r="L408" s="559"/>
      <c r="M408" s="559"/>
      <c r="N408" s="559"/>
      <c r="T408" s="667"/>
    </row>
    <row r="409" spans="1:21" x14ac:dyDescent="0.2">
      <c r="A409" s="535" t="s">
        <v>212</v>
      </c>
      <c r="B409" s="559">
        <v>0</v>
      </c>
      <c r="C409" s="559">
        <v>0</v>
      </c>
      <c r="D409" s="697">
        <v>0</v>
      </c>
      <c r="E409" s="696">
        <v>-18695</v>
      </c>
      <c r="F409" s="695">
        <v>-324825.73650000006</v>
      </c>
      <c r="G409" s="535"/>
      <c r="H409" s="610" t="s">
        <v>887</v>
      </c>
      <c r="I409" s="610"/>
      <c r="J409" s="610"/>
      <c r="K409" s="610" t="s">
        <v>887</v>
      </c>
      <c r="L409" s="610" t="s">
        <v>887</v>
      </c>
      <c r="M409" s="610" t="e">
        <v>#REF!</v>
      </c>
      <c r="N409" s="610" t="e">
        <v>#REF!</v>
      </c>
      <c r="T409" s="569"/>
    </row>
    <row r="410" spans="1:21" ht="22.5" x14ac:dyDescent="0.2">
      <c r="A410" s="535" t="s">
        <v>719</v>
      </c>
      <c r="B410" s="1076"/>
      <c r="C410" s="1076"/>
      <c r="D410" s="1077"/>
      <c r="E410" s="1077"/>
      <c r="F410" s="1078"/>
      <c r="G410" s="1076"/>
      <c r="H410" s="1079"/>
      <c r="I410" s="694"/>
      <c r="J410" s="694"/>
      <c r="K410" s="694"/>
      <c r="L410" s="694"/>
      <c r="M410" s="693"/>
      <c r="N410" s="693"/>
      <c r="T410" s="569"/>
    </row>
    <row r="411" spans="1:21" x14ac:dyDescent="0.2">
      <c r="A411" s="535" t="s">
        <v>720</v>
      </c>
      <c r="B411" s="1076"/>
      <c r="C411" s="1076"/>
      <c r="D411" s="1080"/>
      <c r="E411" s="1077"/>
      <c r="F411" s="690"/>
      <c r="G411" s="609"/>
      <c r="H411" s="689">
        <v>38333</v>
      </c>
      <c r="I411" s="689"/>
      <c r="J411" s="689"/>
      <c r="K411" s="568"/>
      <c r="L411" s="689"/>
      <c r="M411" s="691"/>
      <c r="N411" s="691"/>
    </row>
    <row r="412" spans="1:21" x14ac:dyDescent="0.2">
      <c r="A412" s="535" t="s">
        <v>213</v>
      </c>
      <c r="B412" s="1076"/>
      <c r="C412" s="1076"/>
      <c r="D412" s="1077"/>
      <c r="E412" s="1077"/>
      <c r="F412" s="690"/>
      <c r="G412" s="609"/>
      <c r="H412" s="689"/>
      <c r="I412" s="689"/>
      <c r="J412" s="689"/>
      <c r="K412" s="568"/>
      <c r="L412" s="689"/>
      <c r="M412" s="688"/>
      <c r="N412" s="688"/>
      <c r="T412" s="569"/>
    </row>
    <row r="413" spans="1:21" x14ac:dyDescent="0.2">
      <c r="A413" s="535" t="s">
        <v>214</v>
      </c>
      <c r="B413" s="1076"/>
      <c r="C413" s="1076"/>
      <c r="D413" s="1077"/>
      <c r="E413" s="1077"/>
      <c r="F413" s="686"/>
      <c r="G413" s="535"/>
      <c r="H413" s="568"/>
      <c r="I413" s="568"/>
      <c r="J413" s="568"/>
      <c r="K413" s="568"/>
      <c r="L413" s="568"/>
      <c r="M413" s="685"/>
      <c r="N413" s="685"/>
    </row>
    <row r="414" spans="1:21" x14ac:dyDescent="0.2">
      <c r="A414" s="562" t="s">
        <v>215</v>
      </c>
      <c r="B414" s="644">
        <f t="shared" ref="B414" si="89">SUM(B401:B413)</f>
        <v>273570.3100000011</v>
      </c>
      <c r="C414" s="644">
        <f t="shared" ref="C414:N414" si="90">SUM(C401:C413)</f>
        <v>273570.3100000011</v>
      </c>
      <c r="D414" s="644">
        <f t="shared" si="90"/>
        <v>214871.49000000081</v>
      </c>
      <c r="E414" s="644">
        <f t="shared" si="90"/>
        <v>208636.91</v>
      </c>
      <c r="F414" s="644">
        <f t="shared" si="90"/>
        <v>227329.81349999999</v>
      </c>
      <c r="G414" s="644">
        <f t="shared" si="90"/>
        <v>552155.89999999991</v>
      </c>
      <c r="H414" s="644">
        <f t="shared" si="90"/>
        <v>551790.82999999914</v>
      </c>
      <c r="I414" s="644">
        <f t="shared" si="90"/>
        <v>0</v>
      </c>
      <c r="J414" s="644">
        <f t="shared" si="90"/>
        <v>0</v>
      </c>
      <c r="K414" s="644">
        <f t="shared" si="90"/>
        <v>1571352</v>
      </c>
      <c r="L414" s="644">
        <f t="shared" si="90"/>
        <v>1571352</v>
      </c>
      <c r="M414" s="644" t="e">
        <f t="shared" si="90"/>
        <v>#REF!</v>
      </c>
      <c r="N414" s="644" t="e">
        <f t="shared" si="90"/>
        <v>#REF!</v>
      </c>
      <c r="T414" s="667"/>
    </row>
    <row r="415" spans="1:21" x14ac:dyDescent="0.2">
      <c r="A415" s="562" t="s">
        <v>216</v>
      </c>
      <c r="B415" s="644">
        <f t="shared" ref="B415" si="91">+B400+B414</f>
        <v>2504845.8000000007</v>
      </c>
      <c r="C415" s="644">
        <f t="shared" ref="C415:N415" si="92">+C400+C414</f>
        <v>2504846.8000000007</v>
      </c>
      <c r="D415" s="644">
        <f t="shared" si="92"/>
        <v>3507626.9900000007</v>
      </c>
      <c r="E415" s="644">
        <f t="shared" si="92"/>
        <v>2196265.96</v>
      </c>
      <c r="F415" s="644">
        <f t="shared" si="92"/>
        <v>2571004.3735000002</v>
      </c>
      <c r="G415" s="644">
        <f t="shared" si="92"/>
        <v>1689543.9</v>
      </c>
      <c r="H415" s="644">
        <f t="shared" si="92"/>
        <v>2276478.503300671</v>
      </c>
      <c r="I415" s="644">
        <f t="shared" si="92"/>
        <v>0</v>
      </c>
      <c r="J415" s="644">
        <f t="shared" si="92"/>
        <v>0</v>
      </c>
      <c r="K415" s="644">
        <f t="shared" si="92"/>
        <v>3095402</v>
      </c>
      <c r="L415" s="644">
        <f t="shared" si="92"/>
        <v>3095402</v>
      </c>
      <c r="M415" s="644" t="e">
        <f t="shared" si="92"/>
        <v>#REF!</v>
      </c>
      <c r="N415" s="644" t="e">
        <f t="shared" si="92"/>
        <v>#REF!</v>
      </c>
      <c r="S415" s="667"/>
      <c r="T415" s="667"/>
    </row>
    <row r="416" spans="1:21" x14ac:dyDescent="0.2">
      <c r="A416" s="677"/>
      <c r="B416" s="683">
        <f>+B388-B415</f>
        <v>-5.999999912455678E-2</v>
      </c>
      <c r="C416" s="683">
        <v>-1.0599999991245568</v>
      </c>
      <c r="D416" s="684">
        <f>+D388-D415</f>
        <v>-0.87000000011175871</v>
      </c>
      <c r="E416" s="684">
        <f>+E388-E415</f>
        <v>1316408.3461425286</v>
      </c>
      <c r="F416" s="683">
        <v>0.16099999938160181</v>
      </c>
      <c r="G416" s="683">
        <v>7.000000006519258E-2</v>
      </c>
      <c r="H416" s="683">
        <v>9.416699327994138</v>
      </c>
      <c r="I416" s="683"/>
      <c r="J416" s="683"/>
      <c r="K416" s="677"/>
      <c r="L416" s="677"/>
      <c r="M416" s="676"/>
      <c r="N416" s="676"/>
      <c r="T416" s="667"/>
    </row>
    <row r="417" spans="1:21" x14ac:dyDescent="0.2">
      <c r="A417" s="677"/>
      <c r="B417" s="682">
        <f t="shared" ref="B417:K417" si="93">+B358</f>
        <v>2017</v>
      </c>
      <c r="C417" s="682">
        <f t="shared" si="93"/>
        <v>2016</v>
      </c>
      <c r="D417" s="682">
        <f t="shared" si="93"/>
        <v>2015</v>
      </c>
      <c r="E417" s="682" t="str">
        <f t="shared" si="93"/>
        <v>2014 comp</v>
      </c>
      <c r="F417" s="682" t="str">
        <f t="shared" si="93"/>
        <v>2013 CXD</v>
      </c>
      <c r="G417" s="682" t="str">
        <f t="shared" si="93"/>
        <v>2012 CD</v>
      </c>
      <c r="H417" s="682" t="str">
        <f t="shared" si="93"/>
        <v>2011 CD</v>
      </c>
      <c r="I417" s="682">
        <f t="shared" si="93"/>
        <v>2010</v>
      </c>
      <c r="J417" s="682">
        <f t="shared" si="93"/>
        <v>2009</v>
      </c>
      <c r="K417" s="682">
        <f t="shared" si="93"/>
        <v>2008</v>
      </c>
      <c r="L417" s="677"/>
      <c r="M417" s="676"/>
      <c r="N417" s="676"/>
      <c r="U417" s="667"/>
    </row>
    <row r="418" spans="1:21" hidden="1" x14ac:dyDescent="0.2">
      <c r="A418" s="681" t="s">
        <v>921</v>
      </c>
      <c r="B418" s="588" t="s">
        <v>869</v>
      </c>
      <c r="C418" s="588" t="s">
        <v>869</v>
      </c>
      <c r="D418" s="588" t="s">
        <v>869</v>
      </c>
      <c r="E418" s="588" t="s">
        <v>869</v>
      </c>
      <c r="F418" s="588" t="s">
        <v>560</v>
      </c>
      <c r="G418" s="588" t="s">
        <v>560</v>
      </c>
      <c r="H418" s="588" t="s">
        <v>560</v>
      </c>
      <c r="I418" s="588" t="s">
        <v>560</v>
      </c>
      <c r="J418" s="588" t="s">
        <v>560</v>
      </c>
      <c r="K418" s="588" t="s">
        <v>560</v>
      </c>
      <c r="L418" s="677"/>
      <c r="M418" s="676"/>
      <c r="N418" s="676"/>
    </row>
    <row r="419" spans="1:21" hidden="1" x14ac:dyDescent="0.2">
      <c r="A419" s="679" t="s">
        <v>920</v>
      </c>
      <c r="B419" s="1081"/>
      <c r="C419" s="1081"/>
      <c r="D419" s="1082"/>
      <c r="E419" s="1082"/>
      <c r="F419" s="679"/>
      <c r="G419" s="679"/>
      <c r="H419" s="678"/>
      <c r="I419" s="678"/>
      <c r="J419" s="678"/>
      <c r="K419" s="678"/>
      <c r="L419" s="677"/>
      <c r="M419" s="676"/>
      <c r="N419" s="676"/>
      <c r="U419" s="667"/>
    </row>
    <row r="420" spans="1:21" hidden="1" x14ac:dyDescent="0.2">
      <c r="A420" s="679" t="s">
        <v>919</v>
      </c>
      <c r="B420" s="1081"/>
      <c r="C420" s="1081"/>
      <c r="D420" s="1082"/>
      <c r="E420" s="1082"/>
      <c r="F420" s="679"/>
      <c r="G420" s="679"/>
      <c r="H420" s="678"/>
      <c r="I420" s="678"/>
      <c r="J420" s="678"/>
      <c r="K420" s="678"/>
      <c r="L420" s="677"/>
      <c r="M420" s="676"/>
      <c r="N420" s="676"/>
    </row>
    <row r="421" spans="1:21" ht="33.75" hidden="1" x14ac:dyDescent="0.2">
      <c r="A421" s="680" t="s">
        <v>918</v>
      </c>
      <c r="B421" s="1083"/>
      <c r="C421" s="1083"/>
      <c r="D421" s="1084"/>
      <c r="E421" s="1084"/>
      <c r="F421" s="680"/>
      <c r="G421" s="680"/>
      <c r="H421" s="680"/>
      <c r="I421" s="680"/>
      <c r="J421" s="680"/>
      <c r="K421" s="680"/>
      <c r="L421" s="677"/>
      <c r="M421" s="676"/>
      <c r="N421" s="676"/>
    </row>
    <row r="422" spans="1:21" ht="22.5" hidden="1" x14ac:dyDescent="0.2">
      <c r="A422" s="679" t="s">
        <v>917</v>
      </c>
      <c r="B422" s="1081"/>
      <c r="C422" s="1081"/>
      <c r="D422" s="1082"/>
      <c r="E422" s="1082"/>
      <c r="F422" s="679"/>
      <c r="G422" s="679"/>
      <c r="H422" s="678"/>
      <c r="I422" s="678"/>
      <c r="J422" s="678"/>
      <c r="K422" s="678"/>
      <c r="L422" s="677"/>
      <c r="M422" s="676"/>
      <c r="N422" s="676"/>
    </row>
    <row r="423" spans="1:21" ht="33.75" hidden="1" x14ac:dyDescent="0.2">
      <c r="A423" s="679" t="s">
        <v>916</v>
      </c>
      <c r="B423" s="1081"/>
      <c r="C423" s="1081"/>
      <c r="D423" s="1082"/>
      <c r="E423" s="1082"/>
      <c r="F423" s="679"/>
      <c r="G423" s="679"/>
      <c r="H423" s="678"/>
      <c r="I423" s="678"/>
      <c r="J423" s="678"/>
      <c r="K423" s="678"/>
      <c r="L423" s="677"/>
      <c r="M423" s="676"/>
      <c r="N423" s="676"/>
    </row>
    <row r="424" spans="1:21" hidden="1" x14ac:dyDescent="0.2">
      <c r="A424" s="679" t="s">
        <v>915</v>
      </c>
      <c r="B424" s="1081"/>
      <c r="C424" s="1081"/>
      <c r="D424" s="1082"/>
      <c r="E424" s="1082"/>
      <c r="F424" s="679"/>
      <c r="G424" s="679"/>
      <c r="H424" s="678"/>
      <c r="I424" s="678"/>
      <c r="J424" s="678"/>
      <c r="K424" s="678"/>
      <c r="L424" s="677"/>
      <c r="M424" s="676"/>
      <c r="N424" s="676"/>
    </row>
    <row r="425" spans="1:21" ht="22.5" hidden="1" x14ac:dyDescent="0.2">
      <c r="A425" s="679" t="s">
        <v>914</v>
      </c>
      <c r="B425" s="1081"/>
      <c r="C425" s="1081"/>
      <c r="D425" s="1082"/>
      <c r="E425" s="1082"/>
      <c r="F425" s="679"/>
      <c r="G425" s="679"/>
      <c r="H425" s="678"/>
      <c r="I425" s="678"/>
      <c r="J425" s="678"/>
      <c r="K425" s="678"/>
      <c r="L425" s="677"/>
      <c r="M425" s="676"/>
      <c r="N425" s="676"/>
    </row>
    <row r="426" spans="1:21" ht="22.5" hidden="1" x14ac:dyDescent="0.2">
      <c r="A426" s="679" t="s">
        <v>913</v>
      </c>
      <c r="B426" s="1081"/>
      <c r="C426" s="1081"/>
      <c r="D426" s="1082"/>
      <c r="E426" s="1082"/>
      <c r="F426" s="679"/>
      <c r="G426" s="679"/>
      <c r="H426" s="678"/>
      <c r="I426" s="678"/>
      <c r="J426" s="678"/>
      <c r="K426" s="678"/>
      <c r="L426" s="677"/>
      <c r="M426" s="676"/>
      <c r="N426" s="676"/>
    </row>
    <row r="427" spans="1:21" ht="22.5" hidden="1" x14ac:dyDescent="0.2">
      <c r="A427" s="679" t="s">
        <v>912</v>
      </c>
      <c r="B427" s="1081"/>
      <c r="C427" s="1081"/>
      <c r="D427" s="1082"/>
      <c r="E427" s="1082"/>
      <c r="F427" s="679"/>
      <c r="G427" s="679"/>
      <c r="H427" s="678"/>
      <c r="I427" s="678"/>
      <c r="J427" s="678"/>
      <c r="K427" s="678"/>
      <c r="L427" s="677"/>
      <c r="M427" s="676"/>
      <c r="N427" s="676"/>
    </row>
    <row r="428" spans="1:21" ht="33.75" hidden="1" x14ac:dyDescent="0.2">
      <c r="A428" s="679" t="s">
        <v>911</v>
      </c>
      <c r="B428" s="1081"/>
      <c r="C428" s="1081"/>
      <c r="D428" s="1082"/>
      <c r="E428" s="1082"/>
      <c r="F428" s="679"/>
      <c r="G428" s="679"/>
      <c r="H428" s="678"/>
      <c r="I428" s="678"/>
      <c r="J428" s="678"/>
      <c r="K428" s="678"/>
      <c r="L428" s="677"/>
      <c r="M428" s="676"/>
      <c r="N428" s="676"/>
    </row>
    <row r="429" spans="1:21" hidden="1" x14ac:dyDescent="0.2">
      <c r="A429" s="679" t="s">
        <v>910</v>
      </c>
      <c r="B429" s="1081"/>
      <c r="C429" s="1081"/>
      <c r="D429" s="1082"/>
      <c r="E429" s="1082"/>
      <c r="F429" s="679"/>
      <c r="G429" s="679"/>
      <c r="H429" s="678"/>
      <c r="I429" s="678"/>
      <c r="J429" s="678"/>
      <c r="K429" s="678"/>
      <c r="L429" s="677"/>
      <c r="M429" s="676"/>
      <c r="N429" s="676"/>
    </row>
    <row r="430" spans="1:21" ht="22.5" hidden="1" x14ac:dyDescent="0.2">
      <c r="A430" s="679" t="s">
        <v>909</v>
      </c>
      <c r="B430" s="1081"/>
      <c r="C430" s="1081"/>
      <c r="D430" s="1082"/>
      <c r="E430" s="1082"/>
      <c r="F430" s="679"/>
      <c r="G430" s="679"/>
      <c r="H430" s="678"/>
      <c r="I430" s="678"/>
      <c r="J430" s="678"/>
      <c r="K430" s="678"/>
      <c r="L430" s="677"/>
      <c r="M430" s="676"/>
      <c r="N430" s="676"/>
    </row>
    <row r="431" spans="1:21" ht="33.75" hidden="1" x14ac:dyDescent="0.2">
      <c r="A431" s="679" t="s">
        <v>908</v>
      </c>
      <c r="B431" s="1081"/>
      <c r="C431" s="1081"/>
      <c r="D431" s="1082"/>
      <c r="E431" s="1082"/>
      <c r="F431" s="679"/>
      <c r="G431" s="679"/>
      <c r="H431" s="678"/>
      <c r="I431" s="678"/>
      <c r="J431" s="678"/>
      <c r="K431" s="678"/>
      <c r="L431" s="677"/>
      <c r="M431" s="676"/>
      <c r="N431" s="676"/>
    </row>
    <row r="432" spans="1:21" hidden="1" x14ac:dyDescent="0.2">
      <c r="A432" s="679" t="s">
        <v>907</v>
      </c>
      <c r="B432" s="1081"/>
      <c r="C432" s="1081"/>
      <c r="D432" s="1082"/>
      <c r="E432" s="1082"/>
      <c r="F432" s="679"/>
      <c r="G432" s="679"/>
      <c r="H432" s="678"/>
      <c r="I432" s="678"/>
      <c r="J432" s="678"/>
      <c r="K432" s="678"/>
      <c r="L432" s="677"/>
      <c r="M432" s="676"/>
      <c r="N432" s="676"/>
    </row>
    <row r="433" spans="1:20" hidden="1" x14ac:dyDescent="0.2">
      <c r="A433" s="679" t="s">
        <v>906</v>
      </c>
      <c r="B433" s="1081"/>
      <c r="C433" s="1081"/>
      <c r="D433" s="1082"/>
      <c r="E433" s="1082"/>
      <c r="F433" s="679"/>
      <c r="G433" s="679"/>
      <c r="H433" s="678"/>
      <c r="I433" s="678"/>
      <c r="J433" s="678"/>
      <c r="K433" s="678"/>
      <c r="L433" s="677"/>
      <c r="M433" s="676"/>
      <c r="N433" s="676"/>
    </row>
    <row r="434" spans="1:20" hidden="1" x14ac:dyDescent="0.2">
      <c r="A434" s="679" t="s">
        <v>905</v>
      </c>
      <c r="B434" s="1081"/>
      <c r="C434" s="1081"/>
      <c r="D434" s="1082"/>
      <c r="E434" s="1082"/>
      <c r="F434" s="679"/>
      <c r="G434" s="679"/>
      <c r="H434" s="678"/>
      <c r="I434" s="678"/>
      <c r="J434" s="678"/>
      <c r="K434" s="678"/>
      <c r="L434" s="677"/>
      <c r="M434" s="676"/>
      <c r="N434" s="676"/>
    </row>
    <row r="435" spans="1:20" s="675" customFormat="1" x14ac:dyDescent="0.2">
      <c r="A435" s="590"/>
      <c r="B435" s="590">
        <f t="shared" ref="B435:N435" si="94">+B417</f>
        <v>2017</v>
      </c>
      <c r="C435" s="590">
        <f t="shared" si="94"/>
        <v>2016</v>
      </c>
      <c r="D435" s="590">
        <f t="shared" si="94"/>
        <v>2015</v>
      </c>
      <c r="E435" s="590" t="str">
        <f t="shared" si="94"/>
        <v>2014 comp</v>
      </c>
      <c r="F435" s="590" t="str">
        <f t="shared" si="94"/>
        <v>2013 CXD</v>
      </c>
      <c r="G435" s="590" t="str">
        <f t="shared" si="94"/>
        <v>2012 CD</v>
      </c>
      <c r="H435" s="590" t="str">
        <f t="shared" si="94"/>
        <v>2011 CD</v>
      </c>
      <c r="I435" s="590">
        <f t="shared" si="94"/>
        <v>2010</v>
      </c>
      <c r="J435" s="590">
        <f t="shared" si="94"/>
        <v>2009</v>
      </c>
      <c r="K435" s="590">
        <f t="shared" si="94"/>
        <v>2008</v>
      </c>
      <c r="L435" s="590">
        <f t="shared" si="94"/>
        <v>0</v>
      </c>
      <c r="M435" s="590">
        <f t="shared" si="94"/>
        <v>0</v>
      </c>
      <c r="N435" s="590">
        <f t="shared" si="94"/>
        <v>0</v>
      </c>
    </row>
    <row r="436" spans="1:20" x14ac:dyDescent="0.2">
      <c r="A436" s="674" t="s">
        <v>904</v>
      </c>
      <c r="B436" s="588" t="s">
        <v>870</v>
      </c>
      <c r="C436" s="588" t="s">
        <v>870</v>
      </c>
      <c r="D436" s="588" t="s">
        <v>870</v>
      </c>
      <c r="E436" s="588" t="s">
        <v>870</v>
      </c>
      <c r="F436" s="588" t="s">
        <v>870</v>
      </c>
      <c r="G436" s="588" t="s">
        <v>870</v>
      </c>
      <c r="H436" s="588" t="s">
        <v>870</v>
      </c>
      <c r="I436" s="588" t="s">
        <v>870</v>
      </c>
      <c r="J436" s="588" t="s">
        <v>870</v>
      </c>
      <c r="K436" s="588" t="s">
        <v>870</v>
      </c>
      <c r="L436" s="588" t="s">
        <v>870</v>
      </c>
      <c r="M436" s="588" t="s">
        <v>870</v>
      </c>
      <c r="N436" s="588" t="s">
        <v>870</v>
      </c>
      <c r="T436" s="673"/>
    </row>
    <row r="437" spans="1:20" x14ac:dyDescent="0.2">
      <c r="A437" s="623" t="str">
        <f>+UPPER("Total de ingresos acumulables")</f>
        <v>TOTAL DE INGRESOS ACUMULABLES</v>
      </c>
      <c r="B437" s="672">
        <f>+B125+B128+B166+B169+B172+B175+B178+B214+B215+B223+B282-B319+B207</f>
        <v>8220208.9379064133</v>
      </c>
      <c r="C437" s="672">
        <f>+C125+C128+C166+C169+C172+C175+C178+C214+C215+C223+C282-C319+C207</f>
        <v>8196808.9379064133</v>
      </c>
      <c r="D437" s="672">
        <f>+D125+D128+D166+D169+D172+D175+D178+D214+D215+D223+D282-D319+D207</f>
        <v>8248533.0679064132</v>
      </c>
      <c r="E437" s="672">
        <f>+E125+E128+E166+E169+E172+E175+E178+E214+E215+E223+E282-E319+E207</f>
        <v>8298330.2245730804</v>
      </c>
      <c r="F437" s="672">
        <f>+F125+F128+F166+F169+F172+F175+F178+F214+F215+F223+F282-F319+F207</f>
        <v>8196808.9379064133</v>
      </c>
      <c r="G437" s="672">
        <f>+G125+G128+G166+G169+G172+G175+G178+G214+G215+G223+G282-G319+G207</f>
        <v>8197040.9379064133</v>
      </c>
      <c r="H437" s="672">
        <f>+H125+H128+H166+H169+H172+H175+H178+H214+H215+H223+H282-H319+H207</f>
        <v>8226132.0479064137</v>
      </c>
      <c r="I437" s="672">
        <f>+I125+I128+I166+I169+I172+I175+I178+I214+I215+I223+I282-I319+I207</f>
        <v>196808.93790641337</v>
      </c>
      <c r="J437" s="672">
        <f>+J125+J128+J166+J169+J172+J175+J178+J214+J215+J223+J282-J319+J207</f>
        <v>372116.93790641334</v>
      </c>
      <c r="K437" s="672">
        <f>+K125+K128+K166+K169+K172+K175+K178+K214+K215+K223+K282-K319+K207</f>
        <v>23985143.937906414</v>
      </c>
      <c r="L437" s="672">
        <f>+L125+L128+L166+L169+L172+L175+L178+L214+L215+L223+L282-L319+L207</f>
        <v>24023788.015427768</v>
      </c>
      <c r="M437" s="672">
        <f>+M125+M128+M166+M169+M172+M175+M178+M214+M215+M223+M282-M319+M207</f>
        <v>154321.75188065792</v>
      </c>
      <c r="N437" s="672">
        <f>+N125+N128+N166+N169+N172+N175+N178+N214+N215+N223+N282-N319+N207</f>
        <v>-201000</v>
      </c>
    </row>
    <row r="438" spans="1:20" ht="22.5" x14ac:dyDescent="0.2">
      <c r="A438" s="558" t="str">
        <f>+UPPER("Total de deducciones autorizadas y deduccion inmediata de inversiones")</f>
        <v>TOTAL DE DEDUCCIONES AUTORIZADAS Y DEDUCCION INMEDIATA DE INVERSIONES</v>
      </c>
      <c r="B438" s="669">
        <f>+B131+B134+B156+B161+B181+B184+B187+B190+B193+B199+B211+B216+B219+B220+B221+B222+B227+B303-B290+B224</f>
        <v>7564066.6210916005</v>
      </c>
      <c r="C438" s="669">
        <f>+C131+C134+C156+C161+C181+C184+C187+C190+C193+C199+C211+C216+C219+C220+C221+C222+C227+C303-C290+C224</f>
        <v>9611231.5688712299</v>
      </c>
      <c r="D438" s="669">
        <f>+D131+D134+D156+D161+D181+D184+D187+D190+D193+D199+D211+D216+D219+D220+D221+D222+D227+D303-D290+D224</f>
        <v>9665857.2133239955</v>
      </c>
      <c r="E438" s="669">
        <f>+E131+E134+E156+E161+E181+E184+E187+E190+E193+E199+E211+E216+E219+E220+E221+E222+E227+E303-E290+E224</f>
        <v>8362532.4169048965</v>
      </c>
      <c r="F438" s="669">
        <f>+F131+F134+F156+F161+F181+F184+F187+F190+F193+F199+F211+F216+F219+F220+F221+F222+F227+F303-F290+F224</f>
        <v>8127865.283786945</v>
      </c>
      <c r="G438" s="669">
        <f>+G131+G134+G156+G161+G181+G184+G187+G190+G193+G199+G211+G216+G219+G220+G221+G222+G227+G303-G290+G224</f>
        <v>7718745.8472869433</v>
      </c>
      <c r="H438" s="669">
        <f>+H131+H134+H156+H161+H181+H184+H187+H190+H193+H199+H211+H216+H219+H220+H221+H222+H227+H303-H290+H224</f>
        <v>7513472.3048620895</v>
      </c>
      <c r="I438" s="669">
        <f>+I131+I134+I156+I161+I181+I184+I187+I190+I193+I199+I211+I216+I219+I220+I221+I222+I227+I303-I290+I224</f>
        <v>111784.32728694438</v>
      </c>
      <c r="J438" s="669">
        <f>+J131+J134+J156+J161+J181+J184+J187+J190+J193+J199+J211+J216+J219+J220+J221+J222+J227+J303-J290+J224</f>
        <v>239093.32728694426</v>
      </c>
      <c r="K438" s="669">
        <f>+K131+K134+K156+K161+K181+K184+K187+K190+K193+K199+K211+K216+K219+K220+K221+K222+K227+K303-K290+K224</f>
        <v>23223485.974862091</v>
      </c>
      <c r="L438" s="669">
        <f>+L131+L134+L156+L161+L181+L184+L187+L190+L193+L199+L211+L216+L219+L220+L221+L222+L227+L303-L290+L224</f>
        <v>23159576.095622495</v>
      </c>
      <c r="M438" s="669">
        <f>+M131+M134+M156+M161+M181+M184+M187+M190+M193+M199+M211+M216+M219+M220+M221+M222+M227+M303-M290+M224</f>
        <v>334509.30395651842</v>
      </c>
      <c r="N438" s="669">
        <f>+N131+N134+N156+N161+N181+N184+N187+N190+N193+N199+N211+N216+N219+N220+N221+N222+N227+N303-N290+N224</f>
        <v>179821.75188065792</v>
      </c>
      <c r="Q438" s="671"/>
      <c r="T438" s="670"/>
    </row>
    <row r="439" spans="1:20" ht="22.5" x14ac:dyDescent="0.2">
      <c r="A439" s="558" t="s">
        <v>1010</v>
      </c>
      <c r="B439" s="669"/>
      <c r="C439" s="669"/>
      <c r="D439" s="669"/>
      <c r="E439" s="669"/>
      <c r="F439" s="669"/>
      <c r="G439" s="669"/>
      <c r="H439" s="669"/>
      <c r="I439" s="669"/>
      <c r="J439" s="669"/>
      <c r="K439" s="669"/>
      <c r="L439" s="669"/>
      <c r="M439" s="669"/>
      <c r="N439" s="669"/>
      <c r="Q439" s="671"/>
      <c r="T439" s="670"/>
    </row>
    <row r="440" spans="1:20" s="629" customFormat="1" x14ac:dyDescent="0.2">
      <c r="A440" s="560" t="str">
        <f>+UPPER("Utilidad o perdida fiscal antes de ptu")</f>
        <v>UTILIDAD O PERDIDA FISCAL ANTES DE PTU</v>
      </c>
      <c r="B440" s="636">
        <f t="shared" ref="B440:N440" si="95">+B437-B438</f>
        <v>656142.31681481283</v>
      </c>
      <c r="C440" s="636">
        <f t="shared" si="95"/>
        <v>-1414422.6309648165</v>
      </c>
      <c r="D440" s="636">
        <f t="shared" si="95"/>
        <v>-1417324.1454175822</v>
      </c>
      <c r="E440" s="636">
        <f t="shared" si="95"/>
        <v>-64202.19233181607</v>
      </c>
      <c r="F440" s="636">
        <f t="shared" si="95"/>
        <v>68943.654119468294</v>
      </c>
      <c r="G440" s="636">
        <f t="shared" si="95"/>
        <v>478295.09061946999</v>
      </c>
      <c r="H440" s="636">
        <f t="shared" si="95"/>
        <v>712659.74304432422</v>
      </c>
      <c r="I440" s="636">
        <f t="shared" si="95"/>
        <v>85024.610619468993</v>
      </c>
      <c r="J440" s="636">
        <f t="shared" si="95"/>
        <v>133023.61061946908</v>
      </c>
      <c r="K440" s="636">
        <f t="shared" si="95"/>
        <v>761657.96304432303</v>
      </c>
      <c r="L440" s="636">
        <f t="shared" si="95"/>
        <v>864211.91980527341</v>
      </c>
      <c r="M440" s="636">
        <f t="shared" si="95"/>
        <v>-180187.5520758605</v>
      </c>
      <c r="N440" s="636">
        <f t="shared" si="95"/>
        <v>-380821.75188065792</v>
      </c>
      <c r="P440" s="1085"/>
    </row>
    <row r="441" spans="1:20" x14ac:dyDescent="0.2">
      <c r="A441" s="558" t="str">
        <f>+UPPER("Ptu pagada en el ejercicio")</f>
        <v>PTU PAGADA EN EL EJERCICIO</v>
      </c>
      <c r="B441" s="652"/>
      <c r="C441" s="558"/>
      <c r="D441" s="642"/>
      <c r="E441" s="563">
        <v>6583.01</v>
      </c>
      <c r="F441" s="568">
        <v>31187.42</v>
      </c>
      <c r="G441" s="568">
        <v>31278.02</v>
      </c>
      <c r="H441" s="568">
        <v>41188</v>
      </c>
      <c r="I441" s="568"/>
      <c r="J441" s="535"/>
      <c r="K441" s="535"/>
      <c r="L441" s="535"/>
      <c r="M441" s="535"/>
      <c r="N441" s="535"/>
    </row>
    <row r="442" spans="1:20" x14ac:dyDescent="0.2">
      <c r="A442" s="668" t="str">
        <f>+UPPER("Utilidad fiscal del ejercicio")</f>
        <v>UTILIDAD FISCAL DEL EJERCICIO</v>
      </c>
      <c r="B442" s="636">
        <f t="shared" ref="B442:N442" si="96">IF(B440-B441&lt;0,0,B440-B441)</f>
        <v>656142.31681481283</v>
      </c>
      <c r="C442" s="636">
        <f t="shared" si="96"/>
        <v>0</v>
      </c>
      <c r="D442" s="636">
        <f t="shared" si="96"/>
        <v>0</v>
      </c>
      <c r="E442" s="636">
        <f t="shared" si="96"/>
        <v>0</v>
      </c>
      <c r="F442" s="636">
        <f t="shared" si="96"/>
        <v>37756.234119468296</v>
      </c>
      <c r="G442" s="636">
        <f t="shared" si="96"/>
        <v>447017.07061946997</v>
      </c>
      <c r="H442" s="636">
        <f t="shared" si="96"/>
        <v>671471.74304432422</v>
      </c>
      <c r="I442" s="636">
        <f t="shared" si="96"/>
        <v>85024.610619468993</v>
      </c>
      <c r="J442" s="636">
        <f t="shared" si="96"/>
        <v>133023.61061946908</v>
      </c>
      <c r="K442" s="636">
        <f t="shared" si="96"/>
        <v>761657.96304432303</v>
      </c>
      <c r="L442" s="636">
        <f t="shared" si="96"/>
        <v>864211.91980527341</v>
      </c>
      <c r="M442" s="636">
        <f t="shared" si="96"/>
        <v>0</v>
      </c>
      <c r="N442" s="636">
        <f t="shared" si="96"/>
        <v>0</v>
      </c>
    </row>
    <row r="443" spans="1:20" x14ac:dyDescent="0.2">
      <c r="A443" s="668" t="str">
        <f>+UPPER("Perdida fiscal del ejercicio")</f>
        <v>PERDIDA FISCAL DEL EJERCICIO</v>
      </c>
      <c r="B443" s="636">
        <f t="shared" ref="B443:N443" si="97">-IF(B440-B441&lt;0,B440-B441,0)</f>
        <v>0</v>
      </c>
      <c r="C443" s="636">
        <f t="shared" si="97"/>
        <v>1414422.6309648165</v>
      </c>
      <c r="D443" s="636">
        <f t="shared" si="97"/>
        <v>1417324.1454175822</v>
      </c>
      <c r="E443" s="636">
        <f t="shared" si="97"/>
        <v>70785.202331816065</v>
      </c>
      <c r="F443" s="636">
        <f t="shared" si="97"/>
        <v>0</v>
      </c>
      <c r="G443" s="636">
        <f t="shared" si="97"/>
        <v>0</v>
      </c>
      <c r="H443" s="636">
        <f t="shared" si="97"/>
        <v>0</v>
      </c>
      <c r="I443" s="636">
        <f t="shared" si="97"/>
        <v>0</v>
      </c>
      <c r="J443" s="636">
        <f t="shared" si="97"/>
        <v>0</v>
      </c>
      <c r="K443" s="636">
        <f t="shared" si="97"/>
        <v>0</v>
      </c>
      <c r="L443" s="636">
        <f t="shared" si="97"/>
        <v>0</v>
      </c>
      <c r="M443" s="636">
        <f t="shared" si="97"/>
        <v>180187.5520758605</v>
      </c>
      <c r="N443" s="636">
        <f t="shared" si="97"/>
        <v>380821.75188065792</v>
      </c>
      <c r="T443" s="667"/>
    </row>
    <row r="444" spans="1:20" ht="22.5" x14ac:dyDescent="0.2">
      <c r="A444" s="558" t="str">
        <f>+UPPER("Perdidas fiscales de ejercicios anterioires que se aplican en el ejercicio")</f>
        <v>PERDIDAS FISCALES DE EJERCICIOS ANTERIOIRES QUE SE APLICAN EN EL EJERCICIO</v>
      </c>
      <c r="B444" s="652"/>
      <c r="C444" s="652">
        <v>144840</v>
      </c>
      <c r="D444" s="642"/>
      <c r="E444" s="666">
        <v>100756.2586103088</v>
      </c>
      <c r="F444" s="558"/>
      <c r="G444" s="558"/>
      <c r="H444" s="558"/>
      <c r="I444" s="558"/>
      <c r="J444" s="558"/>
      <c r="K444" s="558"/>
      <c r="L444" s="558"/>
      <c r="M444" s="558"/>
      <c r="N444" s="558"/>
    </row>
    <row r="445" spans="1:20" x14ac:dyDescent="0.2">
      <c r="A445" s="560" t="str">
        <f>+UPPER("Resultado fiscal")</f>
        <v>RESULTADO FISCAL</v>
      </c>
      <c r="B445" s="665">
        <f t="shared" ref="B445:N445" si="98">+IF(B442&lt;&gt;0,B442-B444,0)</f>
        <v>656142.31681481283</v>
      </c>
      <c r="C445" s="665">
        <f t="shared" si="98"/>
        <v>0</v>
      </c>
      <c r="D445" s="665">
        <f t="shared" si="98"/>
        <v>0</v>
      </c>
      <c r="E445" s="665">
        <f t="shared" si="98"/>
        <v>0</v>
      </c>
      <c r="F445" s="665">
        <f t="shared" si="98"/>
        <v>37756.234119468296</v>
      </c>
      <c r="G445" s="665">
        <f t="shared" si="98"/>
        <v>447017.07061946997</v>
      </c>
      <c r="H445" s="665">
        <f t="shared" si="98"/>
        <v>671471.74304432422</v>
      </c>
      <c r="I445" s="665">
        <f t="shared" si="98"/>
        <v>85024.610619468993</v>
      </c>
      <c r="J445" s="665">
        <f t="shared" si="98"/>
        <v>133023.61061946908</v>
      </c>
      <c r="K445" s="665">
        <f t="shared" si="98"/>
        <v>761657.96304432303</v>
      </c>
      <c r="L445" s="665">
        <f t="shared" si="98"/>
        <v>864211.91980527341</v>
      </c>
      <c r="M445" s="665">
        <f t="shared" si="98"/>
        <v>0</v>
      </c>
      <c r="N445" s="665">
        <f t="shared" si="98"/>
        <v>0</v>
      </c>
    </row>
    <row r="446" spans="1:20" s="662" customFormat="1" x14ac:dyDescent="0.2">
      <c r="A446" s="664" t="str">
        <f>+UPPER("Tasa de isr del ejercicio")</f>
        <v>TASA DE ISR DEL EJERCICIO</v>
      </c>
      <c r="B446" s="663">
        <v>0.3</v>
      </c>
      <c r="C446" s="663">
        <v>0.3</v>
      </c>
      <c r="D446" s="663">
        <v>0.3</v>
      </c>
      <c r="E446" s="663">
        <v>0.3</v>
      </c>
      <c r="F446" s="663">
        <v>0.3</v>
      </c>
      <c r="G446" s="663">
        <v>0.3</v>
      </c>
      <c r="H446" s="663">
        <v>0.3</v>
      </c>
      <c r="I446" s="663"/>
      <c r="J446" s="663">
        <v>0.28000000000000003</v>
      </c>
      <c r="K446" s="663">
        <v>0.28000000000000003</v>
      </c>
      <c r="L446" s="663">
        <v>0.28000000000000003</v>
      </c>
      <c r="M446" s="663"/>
      <c r="N446" s="663"/>
    </row>
    <row r="447" spans="1:20" x14ac:dyDescent="0.2">
      <c r="A447" s="661" t="str">
        <f>+UPPER("Impuesto sobre la renta del ejercicio")</f>
        <v>IMPUESTO SOBRE LA RENTA DEL EJERCICIO</v>
      </c>
      <c r="B447" s="660">
        <f t="shared" ref="B447:N447" si="99">+B445*B446</f>
        <v>196842.69504444386</v>
      </c>
      <c r="C447" s="660">
        <f t="shared" si="99"/>
        <v>0</v>
      </c>
      <c r="D447" s="660">
        <f t="shared" si="99"/>
        <v>0</v>
      </c>
      <c r="E447" s="660">
        <f t="shared" si="99"/>
        <v>0</v>
      </c>
      <c r="F447" s="660">
        <f t="shared" si="99"/>
        <v>11326.870235840488</v>
      </c>
      <c r="G447" s="660">
        <f t="shared" si="99"/>
        <v>134105.12118584098</v>
      </c>
      <c r="H447" s="660">
        <f t="shared" si="99"/>
        <v>201441.52291329726</v>
      </c>
      <c r="I447" s="660">
        <f t="shared" si="99"/>
        <v>0</v>
      </c>
      <c r="J447" s="660">
        <f t="shared" si="99"/>
        <v>37246.610973451345</v>
      </c>
      <c r="K447" s="660">
        <f t="shared" si="99"/>
        <v>213264.22965241046</v>
      </c>
      <c r="L447" s="660">
        <f t="shared" si="99"/>
        <v>241979.33754547659</v>
      </c>
      <c r="M447" s="660">
        <f t="shared" si="99"/>
        <v>0</v>
      </c>
      <c r="N447" s="660">
        <f t="shared" si="99"/>
        <v>0</v>
      </c>
    </row>
    <row r="448" spans="1:20" x14ac:dyDescent="0.2">
      <c r="A448" s="635" t="s">
        <v>721</v>
      </c>
      <c r="B448" s="635"/>
      <c r="C448" s="635"/>
      <c r="D448" s="647"/>
      <c r="E448" s="647"/>
      <c r="F448" s="635"/>
      <c r="G448" s="635"/>
      <c r="H448" s="649"/>
      <c r="I448" s="649"/>
      <c r="J448" s="649"/>
      <c r="K448" s="649"/>
      <c r="L448" s="649"/>
      <c r="M448" s="535"/>
      <c r="N448" s="535"/>
    </row>
    <row r="449" spans="1:14" x14ac:dyDescent="0.2">
      <c r="A449" s="558" t="s">
        <v>722</v>
      </c>
      <c r="B449" s="558"/>
      <c r="C449" s="558"/>
      <c r="D449" s="642"/>
      <c r="E449" s="642"/>
      <c r="F449" s="558"/>
      <c r="G449" s="558"/>
      <c r="H449" s="535"/>
      <c r="I449" s="535"/>
      <c r="J449" s="535"/>
      <c r="K449" s="535"/>
      <c r="L449" s="535"/>
      <c r="M449" s="648"/>
      <c r="N449" s="648"/>
    </row>
    <row r="450" spans="1:14" ht="22.5" x14ac:dyDescent="0.2">
      <c r="A450" s="558" t="s">
        <v>723</v>
      </c>
      <c r="B450" s="558"/>
      <c r="C450" s="558"/>
      <c r="D450" s="642"/>
      <c r="E450" s="642"/>
      <c r="F450" s="558"/>
      <c r="G450" s="558"/>
      <c r="H450" s="535"/>
      <c r="I450" s="535"/>
      <c r="J450" s="535"/>
      <c r="K450" s="535"/>
      <c r="L450" s="535"/>
      <c r="M450" s="659"/>
      <c r="N450" s="659"/>
    </row>
    <row r="451" spans="1:14" x14ac:dyDescent="0.2">
      <c r="A451" s="558" t="s">
        <v>724</v>
      </c>
      <c r="B451" s="558"/>
      <c r="C451" s="558"/>
      <c r="D451" s="642"/>
      <c r="E451" s="642"/>
      <c r="F451" s="558"/>
      <c r="G451" s="558"/>
      <c r="H451" s="535"/>
      <c r="I451" s="535"/>
      <c r="J451" s="535"/>
      <c r="K451" s="535"/>
      <c r="L451" s="535"/>
      <c r="M451" s="646"/>
      <c r="N451" s="646"/>
    </row>
    <row r="452" spans="1:14" x14ac:dyDescent="0.2">
      <c r="A452" s="540" t="str">
        <f>+UPPER("Impuesto causado en el ejercicio")</f>
        <v>IMPUESTO CAUSADO EN EL EJERCICIO</v>
      </c>
      <c r="B452" s="658">
        <f t="shared" ref="B452:N452" si="100">+B447-B449-B450-B451</f>
        <v>196842.69504444386</v>
      </c>
      <c r="C452" s="658">
        <f t="shared" si="100"/>
        <v>0</v>
      </c>
      <c r="D452" s="658">
        <f t="shared" si="100"/>
        <v>0</v>
      </c>
      <c r="E452" s="658">
        <f t="shared" si="100"/>
        <v>0</v>
      </c>
      <c r="F452" s="658">
        <f t="shared" si="100"/>
        <v>11326.870235840488</v>
      </c>
      <c r="G452" s="658">
        <f t="shared" si="100"/>
        <v>134105.12118584098</v>
      </c>
      <c r="H452" s="658">
        <f t="shared" si="100"/>
        <v>201441.52291329726</v>
      </c>
      <c r="I452" s="658">
        <f t="shared" si="100"/>
        <v>0</v>
      </c>
      <c r="J452" s="658">
        <f t="shared" si="100"/>
        <v>37246.610973451345</v>
      </c>
      <c r="K452" s="658">
        <f t="shared" si="100"/>
        <v>213264.22965241046</v>
      </c>
      <c r="L452" s="658">
        <f t="shared" si="100"/>
        <v>241979.33754547659</v>
      </c>
      <c r="M452" s="658">
        <f t="shared" si="100"/>
        <v>0</v>
      </c>
      <c r="N452" s="658">
        <f t="shared" si="100"/>
        <v>0</v>
      </c>
    </row>
    <row r="453" spans="1:14" ht="33.75" x14ac:dyDescent="0.2">
      <c r="A453" s="558" t="str">
        <f>+UPPER("Estimulo por proyecto de investigacion y desarrollo tecnologico, realizados en el ejercicio")</f>
        <v>ESTIMULO POR PROYECTO DE INVESTIGACION Y DESARROLLO TECNOLOGICO, REALIZADOS EN EL EJERCICIO</v>
      </c>
      <c r="B453" s="558"/>
      <c r="C453" s="558"/>
      <c r="D453" s="642"/>
      <c r="E453" s="642"/>
      <c r="F453" s="558"/>
      <c r="G453" s="558"/>
      <c r="H453" s="535"/>
      <c r="I453" s="535"/>
      <c r="J453" s="535"/>
      <c r="K453" s="535"/>
      <c r="L453" s="535"/>
      <c r="M453" s="535"/>
      <c r="N453" s="535"/>
    </row>
    <row r="454" spans="1:14" ht="22.5" x14ac:dyDescent="0.2">
      <c r="A454" s="558" t="s">
        <v>725</v>
      </c>
      <c r="B454" s="558"/>
      <c r="C454" s="558"/>
      <c r="D454" s="642"/>
      <c r="E454" s="642"/>
      <c r="F454" s="558"/>
      <c r="G454" s="558"/>
      <c r="H454" s="535"/>
      <c r="I454" s="535"/>
      <c r="J454" s="535"/>
      <c r="K454" s="535"/>
      <c r="L454" s="535"/>
      <c r="M454" s="657"/>
      <c r="N454" s="657"/>
    </row>
    <row r="455" spans="1:14" ht="22.5" x14ac:dyDescent="0.2">
      <c r="A455" s="558" t="s">
        <v>903</v>
      </c>
      <c r="B455" s="558"/>
      <c r="C455" s="558"/>
      <c r="D455" s="642"/>
      <c r="E455" s="642"/>
      <c r="F455" s="558"/>
      <c r="G455" s="558"/>
      <c r="H455" s="535"/>
      <c r="I455" s="535"/>
      <c r="J455" s="535"/>
      <c r="K455" s="535"/>
      <c r="L455" s="535"/>
      <c r="M455" s="656"/>
      <c r="N455" s="656"/>
    </row>
    <row r="456" spans="1:14" x14ac:dyDescent="0.2">
      <c r="A456" s="558" t="s">
        <v>726</v>
      </c>
      <c r="B456" s="558"/>
      <c r="C456" s="558"/>
      <c r="D456" s="642"/>
      <c r="E456" s="642"/>
      <c r="F456" s="558"/>
      <c r="G456" s="558"/>
      <c r="H456" s="535"/>
      <c r="I456" s="535"/>
      <c r="J456" s="535"/>
      <c r="K456" s="535"/>
      <c r="L456" s="535"/>
      <c r="M456" s="655"/>
      <c r="N456" s="655"/>
    </row>
    <row r="457" spans="1:14" x14ac:dyDescent="0.2">
      <c r="A457" s="562" t="s">
        <v>727</v>
      </c>
      <c r="B457" s="599">
        <f t="shared" ref="B457:N457" si="101">SUM(B453:B456)</f>
        <v>0</v>
      </c>
      <c r="C457" s="599">
        <f t="shared" si="101"/>
        <v>0</v>
      </c>
      <c r="D457" s="599">
        <f t="shared" si="101"/>
        <v>0</v>
      </c>
      <c r="E457" s="599">
        <f t="shared" si="101"/>
        <v>0</v>
      </c>
      <c r="F457" s="599">
        <f t="shared" si="101"/>
        <v>0</v>
      </c>
      <c r="G457" s="599">
        <f t="shared" si="101"/>
        <v>0</v>
      </c>
      <c r="H457" s="599">
        <f t="shared" si="101"/>
        <v>0</v>
      </c>
      <c r="I457" s="599">
        <f t="shared" si="101"/>
        <v>0</v>
      </c>
      <c r="J457" s="599">
        <f t="shared" si="101"/>
        <v>0</v>
      </c>
      <c r="K457" s="599">
        <f t="shared" si="101"/>
        <v>0</v>
      </c>
      <c r="L457" s="599">
        <f t="shared" si="101"/>
        <v>0</v>
      </c>
      <c r="M457" s="599">
        <f t="shared" si="101"/>
        <v>0</v>
      </c>
      <c r="N457" s="599">
        <f t="shared" si="101"/>
        <v>0</v>
      </c>
    </row>
    <row r="458" spans="1:14" ht="22.5" x14ac:dyDescent="0.2">
      <c r="A458" s="558" t="s">
        <v>728</v>
      </c>
      <c r="B458" s="1086"/>
      <c r="C458" s="1086"/>
      <c r="D458" s="1087"/>
      <c r="E458" s="1087"/>
      <c r="F458" s="635"/>
      <c r="G458" s="635"/>
      <c r="H458" s="599">
        <v>2</v>
      </c>
      <c r="I458" s="599"/>
      <c r="J458" s="599"/>
      <c r="K458" s="599"/>
      <c r="L458" s="535"/>
      <c r="M458" s="648"/>
      <c r="N458" s="648"/>
    </row>
    <row r="459" spans="1:14" ht="22.5" x14ac:dyDescent="0.2">
      <c r="A459" s="558" t="s">
        <v>1011</v>
      </c>
      <c r="B459" s="652">
        <f>+'PP ISR'!N17</f>
        <v>255714.24664016004</v>
      </c>
      <c r="C459" s="654">
        <v>27924</v>
      </c>
      <c r="D459" s="653">
        <v>55114</v>
      </c>
      <c r="E459" s="653">
        <v>116954</v>
      </c>
      <c r="F459" s="652">
        <v>94256</v>
      </c>
      <c r="G459" s="652">
        <v>126355</v>
      </c>
      <c r="H459" s="568">
        <v>90942</v>
      </c>
      <c r="I459" s="568"/>
      <c r="J459" s="568">
        <v>4987655</v>
      </c>
      <c r="K459" s="568">
        <v>4987655</v>
      </c>
      <c r="L459" s="568">
        <v>4987655</v>
      </c>
      <c r="M459" s="646"/>
      <c r="N459" s="646"/>
    </row>
    <row r="460" spans="1:14" x14ac:dyDescent="0.2">
      <c r="A460" s="558" t="str">
        <f>+UPPER("Impuesto retenido al contribuyente")</f>
        <v>IMPUESTO RETENIDO AL CONTRIBUYENTE</v>
      </c>
      <c r="B460" s="558"/>
      <c r="C460" s="558"/>
      <c r="D460" s="642"/>
      <c r="E460" s="642"/>
      <c r="F460" s="558"/>
      <c r="G460" s="558"/>
      <c r="H460" s="568"/>
      <c r="I460" s="568"/>
      <c r="J460" s="535"/>
      <c r="K460" s="535"/>
      <c r="L460" s="535"/>
      <c r="M460" s="535"/>
      <c r="N460" s="535"/>
    </row>
    <row r="461" spans="1:14" x14ac:dyDescent="0.2">
      <c r="A461" s="558" t="str">
        <f>+UPPER("Impuesto acreditable pagado en el extranjero")</f>
        <v>IMPUESTO ACREDITABLE PAGADO EN EL EXTRANJERO</v>
      </c>
      <c r="B461" s="558"/>
      <c r="C461" s="558"/>
      <c r="D461" s="642"/>
      <c r="E461" s="642"/>
      <c r="F461" s="558"/>
      <c r="G461" s="558"/>
      <c r="H461" s="535"/>
      <c r="I461" s="535"/>
      <c r="J461" s="535"/>
      <c r="K461" s="535"/>
      <c r="L461" s="535"/>
      <c r="M461" s="535"/>
      <c r="N461" s="535"/>
    </row>
    <row r="462" spans="1:14" ht="22.5" x14ac:dyDescent="0.2">
      <c r="A462" s="558" t="str">
        <f>+UPPER("Impuesto acreditable por dividendos o utilidades distribuidos")</f>
        <v>IMPUESTO ACREDITABLE POR DIVIDENDOS O UTILIDADES DISTRIBUIDOS</v>
      </c>
      <c r="B462" s="558"/>
      <c r="C462" s="558"/>
      <c r="D462" s="642"/>
      <c r="E462" s="642"/>
      <c r="F462" s="558"/>
      <c r="G462" s="558"/>
      <c r="H462" s="535"/>
      <c r="I462" s="535"/>
      <c r="J462" s="535"/>
      <c r="K462" s="535"/>
      <c r="L462" s="535"/>
      <c r="M462" s="535"/>
      <c r="N462" s="535"/>
    </row>
    <row r="463" spans="1:14" ht="22.5" hidden="1" x14ac:dyDescent="0.2">
      <c r="A463" s="650" t="s">
        <v>729</v>
      </c>
      <c r="B463" s="1088"/>
      <c r="C463" s="1088"/>
      <c r="D463" s="1089"/>
      <c r="E463" s="1089"/>
      <c r="F463" s="650"/>
      <c r="G463" s="650"/>
      <c r="H463" s="535"/>
      <c r="I463" s="535"/>
      <c r="J463" s="535"/>
      <c r="K463" s="535"/>
      <c r="L463" s="535"/>
      <c r="M463" s="649"/>
      <c r="N463" s="649"/>
    </row>
    <row r="464" spans="1:14" ht="22.5" hidden="1" x14ac:dyDescent="0.2">
      <c r="A464" s="558" t="str">
        <f>+UPPER("Impuesto correspondiente a la consolidacion fiscal a cargo")</f>
        <v>IMPUESTO CORRESPONDIENTE A LA CONSOLIDACION FISCAL A CARGO</v>
      </c>
      <c r="B464" s="1086"/>
      <c r="C464" s="1086"/>
      <c r="D464" s="1087"/>
      <c r="E464" s="1087"/>
      <c r="F464" s="635"/>
      <c r="G464" s="635"/>
      <c r="H464" s="599"/>
      <c r="I464" s="599"/>
      <c r="J464" s="599"/>
      <c r="K464" s="562"/>
      <c r="L464" s="535"/>
      <c r="M464" s="535"/>
      <c r="N464" s="535"/>
    </row>
    <row r="465" spans="1:14" ht="22.5" hidden="1" x14ac:dyDescent="0.2">
      <c r="A465" s="558" t="s">
        <v>902</v>
      </c>
      <c r="B465" s="1086"/>
      <c r="C465" s="1086"/>
      <c r="D465" s="1087"/>
      <c r="E465" s="1087"/>
      <c r="F465" s="635"/>
      <c r="G465" s="635"/>
      <c r="H465" s="599"/>
      <c r="I465" s="599"/>
      <c r="J465" s="599"/>
      <c r="K465" s="562"/>
      <c r="L465" s="535"/>
      <c r="M465" s="648"/>
      <c r="N465" s="648"/>
    </row>
    <row r="466" spans="1:14" x14ac:dyDescent="0.2">
      <c r="A466" s="558" t="s">
        <v>781</v>
      </c>
      <c r="B466" s="635"/>
      <c r="C466" s="635"/>
      <c r="D466" s="647"/>
      <c r="E466" s="647"/>
      <c r="F466" s="635"/>
      <c r="G466" s="635"/>
      <c r="H466" s="599"/>
      <c r="I466" s="599"/>
      <c r="J466" s="599"/>
      <c r="K466" s="562"/>
      <c r="L466" s="535"/>
      <c r="M466" s="646"/>
      <c r="N466" s="646"/>
    </row>
    <row r="467" spans="1:14" x14ac:dyDescent="0.2">
      <c r="A467" s="558" t="s">
        <v>782</v>
      </c>
      <c r="B467" s="635"/>
      <c r="C467" s="635"/>
      <c r="D467" s="647"/>
      <c r="E467" s="647"/>
      <c r="F467" s="635"/>
      <c r="G467" s="635"/>
      <c r="H467" s="599"/>
      <c r="I467" s="599"/>
      <c r="J467" s="599"/>
      <c r="K467" s="562"/>
      <c r="L467" s="535"/>
      <c r="M467" s="646"/>
      <c r="N467" s="646"/>
    </row>
    <row r="468" spans="1:14" x14ac:dyDescent="0.2">
      <c r="A468" s="562" t="str">
        <f>+UPPER("Diferencia a cargo")</f>
        <v>DIFERENCIA A CARGO</v>
      </c>
      <c r="B468" s="644">
        <f t="shared" ref="B468:N468" si="102">+B452-B459</f>
        <v>-58871.551595716184</v>
      </c>
      <c r="C468" s="644">
        <f t="shared" si="102"/>
        <v>-27924</v>
      </c>
      <c r="D468" s="644">
        <f t="shared" si="102"/>
        <v>-55114</v>
      </c>
      <c r="E468" s="644">
        <f t="shared" si="102"/>
        <v>-116954</v>
      </c>
      <c r="F468" s="644">
        <f t="shared" si="102"/>
        <v>-82929.129764159516</v>
      </c>
      <c r="G468" s="644">
        <f t="shared" si="102"/>
        <v>7750.1211858409806</v>
      </c>
      <c r="H468" s="644">
        <f t="shared" si="102"/>
        <v>110499.52291329726</v>
      </c>
      <c r="I468" s="644">
        <f t="shared" si="102"/>
        <v>0</v>
      </c>
      <c r="J468" s="644">
        <f t="shared" si="102"/>
        <v>-4950408.3890265487</v>
      </c>
      <c r="K468" s="644">
        <f t="shared" si="102"/>
        <v>-4774390.7703475896</v>
      </c>
      <c r="L468" s="644">
        <f t="shared" si="102"/>
        <v>-4745675.6624545231</v>
      </c>
      <c r="M468" s="644">
        <f t="shared" si="102"/>
        <v>0</v>
      </c>
      <c r="N468" s="644">
        <f t="shared" si="102"/>
        <v>0</v>
      </c>
    </row>
    <row r="469" spans="1:14" x14ac:dyDescent="0.2">
      <c r="A469" s="562" t="s">
        <v>901</v>
      </c>
      <c r="B469" s="644"/>
      <c r="C469" s="644"/>
      <c r="D469" s="645">
        <v>0</v>
      </c>
      <c r="E469" s="645"/>
      <c r="F469" s="644"/>
      <c r="G469" s="644"/>
      <c r="H469" s="644"/>
      <c r="I469" s="644"/>
      <c r="J469" s="644"/>
      <c r="K469" s="644"/>
      <c r="L469" s="643"/>
      <c r="M469" s="643"/>
      <c r="N469" s="643"/>
    </row>
    <row r="470" spans="1:14" x14ac:dyDescent="0.2">
      <c r="A470" s="558" t="s">
        <v>730</v>
      </c>
      <c r="B470" s="1076"/>
      <c r="C470" s="1076"/>
      <c r="D470" s="1077"/>
      <c r="E470" s="1077"/>
      <c r="F470" s="558"/>
      <c r="G470" s="558"/>
      <c r="H470" s="535"/>
      <c r="I470" s="535"/>
      <c r="J470" s="535"/>
      <c r="K470" s="535"/>
      <c r="L470" s="641"/>
      <c r="M470" s="641"/>
      <c r="N470" s="641"/>
    </row>
    <row r="471" spans="1:14" ht="22.5" hidden="1" x14ac:dyDescent="0.2">
      <c r="A471" s="558" t="str">
        <f>+UPPER("Impuesto a la venta de bienes y servicios suntuarios acreditable")</f>
        <v>IMPUESTO A LA VENTA DE BIENES Y SERVICIOS SUNTUARIOS ACREDITABLE</v>
      </c>
      <c r="B471" s="1090"/>
      <c r="C471" s="1090"/>
      <c r="D471" s="1091"/>
      <c r="E471" s="1091"/>
      <c r="F471" s="1090"/>
      <c r="G471" s="1090"/>
      <c r="H471" s="1090"/>
      <c r="I471" s="638"/>
      <c r="J471" s="638"/>
      <c r="K471" s="638"/>
      <c r="L471" s="535"/>
      <c r="M471" s="535"/>
      <c r="N471" s="535"/>
    </row>
    <row r="472" spans="1:14" x14ac:dyDescent="0.2">
      <c r="A472" s="560" t="s">
        <v>900</v>
      </c>
      <c r="B472" s="560"/>
      <c r="C472" s="560"/>
      <c r="D472" s="637"/>
      <c r="E472" s="637"/>
      <c r="F472" s="560"/>
      <c r="G472" s="560"/>
      <c r="H472" s="636"/>
      <c r="I472" s="636"/>
      <c r="J472" s="636" t="e">
        <v>#REF!</v>
      </c>
      <c r="K472" s="636" t="e">
        <v>#REF!</v>
      </c>
      <c r="L472" s="636" t="e">
        <v>#REF!</v>
      </c>
      <c r="M472" s="636" t="e">
        <v>#REF!</v>
      </c>
      <c r="N472" s="636" t="e">
        <v>#REF!</v>
      </c>
    </row>
    <row r="473" spans="1:14" x14ac:dyDescent="0.2">
      <c r="A473" s="623" t="str">
        <f>+UPPER("Isr pagado en exceso aplicado contra el impac")</f>
        <v>ISR PAGADO EN EXCESO APLICADO CONTRA EL IMPAC</v>
      </c>
      <c r="B473" s="623"/>
      <c r="C473" s="623"/>
      <c r="D473" s="628"/>
      <c r="E473" s="628"/>
      <c r="F473" s="623"/>
      <c r="G473" s="623"/>
      <c r="H473" s="634"/>
      <c r="I473" s="634"/>
      <c r="J473" s="634"/>
      <c r="K473" s="634"/>
      <c r="L473" s="548"/>
      <c r="M473" s="548"/>
      <c r="N473" s="548"/>
    </row>
    <row r="474" spans="1:14" x14ac:dyDescent="0.2">
      <c r="A474" s="558" t="s">
        <v>899</v>
      </c>
      <c r="B474" s="623"/>
      <c r="C474" s="623"/>
      <c r="D474" s="628"/>
      <c r="E474" s="628"/>
      <c r="F474" s="623"/>
      <c r="G474" s="623"/>
      <c r="H474" s="634"/>
      <c r="I474" s="634"/>
      <c r="J474" s="634"/>
      <c r="K474" s="634"/>
      <c r="L474" s="535"/>
      <c r="M474" s="535"/>
      <c r="N474" s="535"/>
    </row>
    <row r="475" spans="1:14" hidden="1" x14ac:dyDescent="0.2">
      <c r="A475" s="558" t="s">
        <v>898</v>
      </c>
      <c r="B475" s="1092"/>
      <c r="C475" s="1092"/>
      <c r="D475" s="1093"/>
      <c r="E475" s="1093"/>
      <c r="F475" s="623"/>
      <c r="G475" s="623"/>
      <c r="H475" s="634"/>
      <c r="I475" s="634"/>
      <c r="J475" s="634"/>
      <c r="K475" s="634"/>
      <c r="L475" s="535"/>
      <c r="M475" s="535"/>
      <c r="N475" s="535"/>
    </row>
    <row r="476" spans="1:14" ht="22.5" hidden="1" x14ac:dyDescent="0.2">
      <c r="A476" s="635" t="str">
        <f>+UPPER("Impuesto por inversiones en territorios con regimenes fiscales preferentes")</f>
        <v>IMPUESTO POR INVERSIONES EN TERRITORIOS CON REGIMENES FISCALES PREFERENTES</v>
      </c>
      <c r="B476" s="624"/>
      <c r="C476" s="624"/>
      <c r="D476" s="625"/>
      <c r="E476" s="625"/>
      <c r="F476" s="624"/>
      <c r="G476" s="624"/>
      <c r="H476" s="634"/>
      <c r="I476" s="634"/>
      <c r="J476" s="634"/>
      <c r="K476" s="634"/>
      <c r="L476" s="535"/>
      <c r="M476" s="535"/>
      <c r="N476" s="535"/>
    </row>
    <row r="477" spans="1:14" ht="22.5" x14ac:dyDescent="0.2">
      <c r="A477" s="635" t="str">
        <f>+UPPER("Impuesto sobre ingresos sujetos a regimenes fiscales preferentes")</f>
        <v>IMPUESTO SOBRE INGRESOS SUJETOS A REGIMENES FISCALES PREFERENTES</v>
      </c>
      <c r="B477" s="624"/>
      <c r="C477" s="624"/>
      <c r="D477" s="625"/>
      <c r="E477" s="625"/>
      <c r="F477" s="624"/>
      <c r="G477" s="624"/>
      <c r="H477" s="634"/>
      <c r="I477" s="634"/>
      <c r="J477" s="634"/>
      <c r="K477" s="634"/>
      <c r="L477" s="535"/>
      <c r="M477" s="535"/>
      <c r="N477" s="535"/>
    </row>
    <row r="478" spans="1:14" s="629" customFormat="1" x14ac:dyDescent="0.2">
      <c r="A478" s="627" t="s">
        <v>1020</v>
      </c>
      <c r="B478" s="1094"/>
      <c r="C478" s="1094"/>
      <c r="D478" s="1095"/>
      <c r="E478" s="1095"/>
      <c r="F478" s="1094"/>
      <c r="G478" s="1094"/>
      <c r="H478" s="630"/>
      <c r="I478" s="630"/>
      <c r="J478" s="630"/>
      <c r="K478" s="630"/>
      <c r="L478" s="560"/>
      <c r="M478" s="560"/>
      <c r="N478" s="560"/>
    </row>
    <row r="479" spans="1:14" x14ac:dyDescent="0.2">
      <c r="A479" s="635" t="s">
        <v>1021</v>
      </c>
      <c r="B479" s="624"/>
      <c r="C479" s="624"/>
      <c r="D479" s="625"/>
      <c r="E479" s="625"/>
      <c r="F479" s="624"/>
      <c r="G479" s="624"/>
      <c r="H479" s="634"/>
      <c r="I479" s="634"/>
      <c r="J479" s="634"/>
      <c r="K479" s="634"/>
      <c r="L479" s="535"/>
      <c r="M479" s="535"/>
      <c r="N479" s="535"/>
    </row>
    <row r="480" spans="1:14" x14ac:dyDescent="0.2">
      <c r="A480" s="635" t="s">
        <v>1022</v>
      </c>
      <c r="B480" s="624"/>
      <c r="C480" s="624"/>
      <c r="D480" s="625"/>
      <c r="E480" s="625"/>
      <c r="F480" s="624"/>
      <c r="G480" s="624"/>
      <c r="H480" s="634"/>
      <c r="I480" s="634"/>
      <c r="J480" s="634"/>
      <c r="K480" s="634"/>
      <c r="L480" s="535"/>
      <c r="M480" s="535"/>
      <c r="N480" s="535"/>
    </row>
    <row r="481" spans="1:14" x14ac:dyDescent="0.2">
      <c r="A481" s="635" t="s">
        <v>1023</v>
      </c>
      <c r="B481" s="624"/>
      <c r="C481" s="624"/>
      <c r="D481" s="625"/>
      <c r="E481" s="625"/>
      <c r="F481" s="624"/>
      <c r="G481" s="624"/>
      <c r="H481" s="634"/>
      <c r="I481" s="634"/>
      <c r="J481" s="634"/>
      <c r="K481" s="634"/>
      <c r="L481" s="535"/>
      <c r="M481" s="535"/>
      <c r="N481" s="535"/>
    </row>
    <row r="482" spans="1:14" x14ac:dyDescent="0.2">
      <c r="A482" s="635" t="s">
        <v>1024</v>
      </c>
      <c r="B482" s="624"/>
      <c r="C482" s="624"/>
      <c r="D482" s="625"/>
      <c r="E482" s="625"/>
      <c r="F482" s="624"/>
      <c r="G482" s="624"/>
      <c r="H482" s="634"/>
      <c r="I482" s="634"/>
      <c r="J482" s="634"/>
      <c r="K482" s="634"/>
      <c r="L482" s="535"/>
      <c r="M482" s="535"/>
      <c r="N482" s="535"/>
    </row>
    <row r="483" spans="1:14" s="629" customFormat="1" x14ac:dyDescent="0.2">
      <c r="A483" s="627" t="s">
        <v>1025</v>
      </c>
      <c r="B483" s="1094"/>
      <c r="C483" s="1094"/>
      <c r="D483" s="1095"/>
      <c r="E483" s="1095"/>
      <c r="F483" s="1094"/>
      <c r="G483" s="1094"/>
      <c r="H483" s="630"/>
      <c r="I483" s="630"/>
      <c r="J483" s="630"/>
      <c r="K483" s="630"/>
      <c r="L483" s="560"/>
      <c r="M483" s="560"/>
      <c r="N483" s="560"/>
    </row>
    <row r="484" spans="1:14" x14ac:dyDescent="0.2">
      <c r="A484" s="635" t="s">
        <v>1026</v>
      </c>
      <c r="B484" s="624"/>
      <c r="C484" s="624"/>
      <c r="D484" s="625"/>
      <c r="E484" s="625"/>
      <c r="F484" s="624"/>
      <c r="G484" s="624"/>
      <c r="H484" s="634"/>
      <c r="I484" s="634"/>
      <c r="J484" s="634"/>
      <c r="K484" s="634"/>
      <c r="L484" s="535"/>
      <c r="M484" s="535"/>
      <c r="N484" s="535"/>
    </row>
    <row r="485" spans="1:14" s="629" customFormat="1" x14ac:dyDescent="0.2">
      <c r="A485" s="627" t="s">
        <v>1027</v>
      </c>
      <c r="B485" s="1094"/>
      <c r="C485" s="1094"/>
      <c r="D485" s="1095"/>
      <c r="E485" s="1095"/>
      <c r="F485" s="1094"/>
      <c r="G485" s="1094"/>
      <c r="H485" s="630"/>
      <c r="I485" s="630"/>
      <c r="J485" s="630"/>
      <c r="K485" s="630"/>
      <c r="L485" s="560"/>
      <c r="M485" s="560"/>
      <c r="N485" s="560"/>
    </row>
    <row r="486" spans="1:14" x14ac:dyDescent="0.2">
      <c r="A486" s="635"/>
      <c r="B486" s="624"/>
      <c r="C486" s="624"/>
      <c r="D486" s="625"/>
      <c r="E486" s="625"/>
      <c r="F486" s="624"/>
      <c r="G486" s="624"/>
      <c r="H486" s="634"/>
      <c r="I486" s="634"/>
      <c r="J486" s="634"/>
      <c r="K486" s="634"/>
      <c r="L486" s="535"/>
      <c r="M486" s="535"/>
      <c r="N486" s="535"/>
    </row>
    <row r="487" spans="1:14" hidden="1" x14ac:dyDescent="0.2">
      <c r="A487" s="635"/>
      <c r="B487" s="624"/>
      <c r="C487" s="624"/>
      <c r="D487" s="625"/>
      <c r="E487" s="625"/>
      <c r="F487" s="624"/>
      <c r="G487" s="624"/>
      <c r="H487" s="634"/>
      <c r="I487" s="634"/>
      <c r="J487" s="634"/>
      <c r="K487" s="634"/>
      <c r="L487" s="535"/>
      <c r="M487" s="535"/>
      <c r="N487" s="535"/>
    </row>
    <row r="488" spans="1:14" s="629" customFormat="1" x14ac:dyDescent="0.2">
      <c r="A488" s="633" t="s">
        <v>1012</v>
      </c>
      <c r="B488" s="631"/>
      <c r="C488" s="631"/>
      <c r="D488" s="632"/>
      <c r="E488" s="632"/>
      <c r="F488" s="631"/>
      <c r="G488" s="631"/>
      <c r="H488" s="630"/>
      <c r="I488" s="630"/>
      <c r="J488" s="630"/>
      <c r="K488" s="630"/>
      <c r="L488" s="560"/>
      <c r="M488" s="560"/>
      <c r="N488" s="560"/>
    </row>
    <row r="489" spans="1:14" x14ac:dyDescent="0.2">
      <c r="A489" s="558" t="s">
        <v>1013</v>
      </c>
      <c r="B489" s="623"/>
      <c r="C489" s="623"/>
      <c r="D489" s="628"/>
      <c r="E489" s="628"/>
      <c r="F489" s="623"/>
      <c r="G489" s="623"/>
      <c r="H489" s="623"/>
      <c r="I489" s="623"/>
      <c r="J489" s="623"/>
      <c r="K489" s="623"/>
      <c r="L489" s="558"/>
      <c r="M489" s="558"/>
      <c r="N489" s="558"/>
    </row>
    <row r="490" spans="1:14" ht="22.5" x14ac:dyDescent="0.2">
      <c r="A490" s="558" t="s">
        <v>1014</v>
      </c>
      <c r="B490" s="623"/>
      <c r="C490" s="623"/>
      <c r="D490" s="628"/>
      <c r="E490" s="628"/>
      <c r="F490" s="623"/>
      <c r="G490" s="623"/>
      <c r="H490" s="623"/>
      <c r="I490" s="623"/>
      <c r="J490" s="623"/>
      <c r="K490" s="623"/>
      <c r="L490" s="558"/>
      <c r="M490" s="558"/>
      <c r="N490" s="558"/>
    </row>
    <row r="491" spans="1:14" ht="33.75" x14ac:dyDescent="0.2">
      <c r="A491" s="558" t="s">
        <v>1015</v>
      </c>
      <c r="B491" s="623"/>
      <c r="C491" s="623"/>
      <c r="D491" s="628"/>
      <c r="E491" s="628"/>
      <c r="F491" s="623"/>
      <c r="G491" s="623"/>
      <c r="H491" s="623"/>
      <c r="I491" s="623"/>
      <c r="J491" s="623"/>
      <c r="K491" s="623"/>
      <c r="L491" s="558"/>
      <c r="M491" s="558"/>
      <c r="N491" s="558"/>
    </row>
    <row r="492" spans="1:14" ht="22.5" x14ac:dyDescent="0.2">
      <c r="A492" s="558" t="s">
        <v>1016</v>
      </c>
      <c r="B492" s="623"/>
      <c r="C492" s="623"/>
      <c r="D492" s="628"/>
      <c r="E492" s="628"/>
      <c r="F492" s="623"/>
      <c r="G492" s="623"/>
      <c r="H492" s="623"/>
      <c r="I492" s="623"/>
      <c r="J492" s="623"/>
      <c r="K492" s="623"/>
      <c r="L492" s="558"/>
      <c r="M492" s="558"/>
      <c r="N492" s="558"/>
    </row>
    <row r="493" spans="1:14" ht="22.5" x14ac:dyDescent="0.2">
      <c r="A493" s="558" t="s">
        <v>1017</v>
      </c>
      <c r="B493" s="623"/>
      <c r="C493" s="623"/>
      <c r="D493" s="628"/>
      <c r="E493" s="628"/>
      <c r="F493" s="623"/>
      <c r="G493" s="623"/>
      <c r="H493" s="623"/>
      <c r="I493" s="623"/>
      <c r="J493" s="623"/>
      <c r="K493" s="623"/>
      <c r="L493" s="558"/>
      <c r="M493" s="558"/>
      <c r="N493" s="558"/>
    </row>
    <row r="494" spans="1:14" ht="22.5" x14ac:dyDescent="0.2">
      <c r="A494" s="635" t="s">
        <v>897</v>
      </c>
      <c r="B494" s="623"/>
      <c r="C494" s="623"/>
      <c r="D494" s="628"/>
      <c r="E494" s="628"/>
      <c r="F494" s="623"/>
      <c r="G494" s="623"/>
      <c r="H494" s="623"/>
      <c r="I494" s="623"/>
      <c r="J494" s="623"/>
      <c r="K494" s="623"/>
      <c r="L494" s="558"/>
      <c r="M494" s="558"/>
      <c r="N494" s="558"/>
    </row>
    <row r="495" spans="1:14" ht="22.5" x14ac:dyDescent="0.2">
      <c r="A495" s="635" t="s">
        <v>896</v>
      </c>
      <c r="B495" s="623"/>
      <c r="C495" s="623"/>
      <c r="D495" s="628"/>
      <c r="E495" s="628"/>
      <c r="F495" s="623"/>
      <c r="G495" s="623"/>
      <c r="H495" s="623"/>
      <c r="I495" s="623"/>
      <c r="J495" s="623"/>
      <c r="K495" s="623"/>
      <c r="L495" s="558"/>
      <c r="M495" s="558"/>
      <c r="N495" s="558"/>
    </row>
    <row r="496" spans="1:14" ht="33.75" x14ac:dyDescent="0.2">
      <c r="A496" s="635" t="s">
        <v>1018</v>
      </c>
      <c r="B496" s="624"/>
      <c r="C496" s="624"/>
      <c r="D496" s="625"/>
      <c r="E496" s="625"/>
      <c r="F496" s="624"/>
      <c r="G496" s="624"/>
      <c r="H496" s="623"/>
      <c r="I496" s="623"/>
      <c r="J496" s="623"/>
      <c r="K496" s="623"/>
      <c r="L496" s="558"/>
      <c r="M496" s="558"/>
      <c r="N496" s="558"/>
    </row>
    <row r="497" spans="1:14" ht="33.75" x14ac:dyDescent="0.2">
      <c r="A497" s="558" t="s">
        <v>1019</v>
      </c>
      <c r="B497" s="624"/>
      <c r="C497" s="624"/>
      <c r="D497" s="625"/>
      <c r="E497" s="625"/>
      <c r="F497" s="624"/>
      <c r="G497" s="624"/>
      <c r="H497" s="623"/>
      <c r="I497" s="623"/>
      <c r="J497" s="623"/>
      <c r="K497" s="623"/>
      <c r="L497" s="558"/>
      <c r="M497" s="558"/>
      <c r="N497" s="558"/>
    </row>
    <row r="498" spans="1:14" x14ac:dyDescent="0.2">
      <c r="A498" s="635"/>
      <c r="B498" s="624"/>
      <c r="C498" s="624"/>
      <c r="D498" s="625"/>
      <c r="E498" s="625"/>
      <c r="F498" s="624"/>
      <c r="G498" s="624"/>
      <c r="H498" s="623"/>
      <c r="I498" s="623"/>
      <c r="J498" s="623"/>
      <c r="K498" s="623"/>
      <c r="L498" s="558"/>
      <c r="M498" s="558"/>
      <c r="N498" s="558"/>
    </row>
    <row r="499" spans="1:14" x14ac:dyDescent="0.2">
      <c r="A499" s="593"/>
      <c r="B499" s="593"/>
      <c r="C499" s="593"/>
      <c r="D499" s="594"/>
      <c r="E499" s="594"/>
      <c r="F499" s="593"/>
      <c r="G499" s="593"/>
      <c r="H499" s="593"/>
      <c r="I499" s="593"/>
      <c r="J499" s="593"/>
      <c r="K499" s="593"/>
      <c r="L499" s="593"/>
      <c r="M499" s="622"/>
      <c r="N499" s="622"/>
    </row>
    <row r="500" spans="1:14" hidden="1" x14ac:dyDescent="0.2">
      <c r="A500" s="593"/>
      <c r="B500" s="593">
        <f>+B435</f>
        <v>2017</v>
      </c>
      <c r="C500" s="593">
        <f>+C435</f>
        <v>2016</v>
      </c>
      <c r="D500" s="593">
        <f>+D435</f>
        <v>2015</v>
      </c>
      <c r="E500" s="593" t="str">
        <f>+E435</f>
        <v>2014 comp</v>
      </c>
      <c r="F500" s="593" t="str">
        <f>+F435</f>
        <v>2013 CXD</v>
      </c>
      <c r="G500" s="593" t="str">
        <f>+G435</f>
        <v>2012 CD</v>
      </c>
      <c r="H500" s="593" t="str">
        <f>+H435</f>
        <v>2011 CD</v>
      </c>
      <c r="I500" s="593">
        <f>+I435</f>
        <v>2010</v>
      </c>
      <c r="J500" s="593">
        <f>+J435</f>
        <v>2009</v>
      </c>
      <c r="K500" s="593">
        <f>+K435</f>
        <v>2008</v>
      </c>
      <c r="L500" s="593">
        <f>+L435</f>
        <v>0</v>
      </c>
      <c r="M500" s="593">
        <f>+M435</f>
        <v>0</v>
      </c>
      <c r="N500" s="593">
        <f>+N435</f>
        <v>0</v>
      </c>
    </row>
    <row r="501" spans="1:14" hidden="1" x14ac:dyDescent="0.2">
      <c r="A501" s="621" t="s">
        <v>980</v>
      </c>
      <c r="B501" s="620" t="s">
        <v>296</v>
      </c>
      <c r="C501" s="620" t="s">
        <v>296</v>
      </c>
      <c r="D501" s="620" t="s">
        <v>296</v>
      </c>
      <c r="E501" s="620" t="s">
        <v>296</v>
      </c>
      <c r="F501" s="620" t="s">
        <v>296</v>
      </c>
      <c r="G501" s="620" t="s">
        <v>296</v>
      </c>
      <c r="H501" s="620" t="s">
        <v>296</v>
      </c>
      <c r="I501" s="620" t="s">
        <v>296</v>
      </c>
      <c r="J501" s="620" t="s">
        <v>296</v>
      </c>
      <c r="K501" s="620" t="s">
        <v>296</v>
      </c>
      <c r="L501" s="620" t="s">
        <v>560</v>
      </c>
      <c r="M501" s="620" t="s">
        <v>560</v>
      </c>
      <c r="N501" s="620" t="s">
        <v>560</v>
      </c>
    </row>
    <row r="502" spans="1:14" ht="22.5" hidden="1" x14ac:dyDescent="0.2">
      <c r="A502" s="609" t="str">
        <f>+UPPER("Si opta por aplicar el articulo 5-a de la limpac, indique el ejercicio al que corresponden las cifras")</f>
        <v>SI OPTA POR APLICAR EL ARTICULO 5-A DE LA LIMPAC, INDIQUE EL EJERCICIO AL QUE CORRESPONDEN LAS CIFRAS</v>
      </c>
      <c r="B502" s="618"/>
      <c r="C502" s="618"/>
      <c r="D502" s="619"/>
      <c r="E502" s="619"/>
      <c r="F502" s="618"/>
      <c r="G502" s="618"/>
      <c r="H502" s="617"/>
      <c r="I502" s="617"/>
      <c r="J502" s="617"/>
      <c r="K502" s="617"/>
      <c r="L502" s="616"/>
      <c r="M502" s="616"/>
      <c r="N502" s="610"/>
    </row>
    <row r="503" spans="1:14" hidden="1" x14ac:dyDescent="0.2">
      <c r="A503" s="609" t="str">
        <f>+UPPER("Promedio de activos financieros")</f>
        <v>PROMEDIO DE ACTIVOS FINANCIEROS</v>
      </c>
      <c r="B503" s="607"/>
      <c r="C503" s="607"/>
      <c r="D503" s="608"/>
      <c r="E503" s="608"/>
      <c r="F503" s="607"/>
      <c r="G503" s="607"/>
      <c r="H503" s="606"/>
      <c r="I503" s="606"/>
      <c r="J503" s="606"/>
      <c r="K503" s="606"/>
      <c r="L503" s="610">
        <v>150000</v>
      </c>
      <c r="M503" s="610">
        <v>150000</v>
      </c>
      <c r="N503" s="610"/>
    </row>
    <row r="504" spans="1:14" hidden="1" x14ac:dyDescent="0.2">
      <c r="A504" s="609" t="str">
        <f>+UPPER("Promedio de inventarios")</f>
        <v>PROMEDIO DE INVENTARIOS</v>
      </c>
      <c r="B504" s="607"/>
      <c r="C504" s="607"/>
      <c r="D504" s="608"/>
      <c r="E504" s="608"/>
      <c r="F504" s="607"/>
      <c r="G504" s="607"/>
      <c r="H504" s="606"/>
      <c r="I504" s="606"/>
      <c r="J504" s="606"/>
      <c r="K504" s="606"/>
      <c r="L504" s="610"/>
      <c r="M504" s="610"/>
      <c r="N504" s="610"/>
    </row>
    <row r="505" spans="1:14" hidden="1" x14ac:dyDescent="0.2">
      <c r="A505" s="609" t="str">
        <f>+UPPER("Promedio de terrenos")</f>
        <v>PROMEDIO DE TERRENOS</v>
      </c>
      <c r="B505" s="607"/>
      <c r="C505" s="607"/>
      <c r="D505" s="608"/>
      <c r="E505" s="608"/>
      <c r="F505" s="607"/>
      <c r="G505" s="607"/>
      <c r="H505" s="606"/>
      <c r="I505" s="606"/>
      <c r="J505" s="606"/>
      <c r="K505" s="606"/>
      <c r="L505" s="610">
        <v>1000000</v>
      </c>
      <c r="M505" s="610">
        <v>1000000</v>
      </c>
      <c r="N505" s="610"/>
    </row>
    <row r="506" spans="1:14" hidden="1" x14ac:dyDescent="0.2">
      <c r="A506" s="609" t="str">
        <f>+UPPER("Promedio de activos fijos y diferidos")</f>
        <v>PROMEDIO DE ACTIVOS FIJOS Y DIFERIDOS</v>
      </c>
      <c r="B506" s="607"/>
      <c r="C506" s="607"/>
      <c r="D506" s="608"/>
      <c r="E506" s="608"/>
      <c r="F506" s="607"/>
      <c r="G506" s="607"/>
      <c r="H506" s="606"/>
      <c r="I506" s="606"/>
      <c r="J506" s="606"/>
      <c r="K506" s="606"/>
      <c r="L506" s="610"/>
      <c r="M506" s="610"/>
      <c r="N506" s="610"/>
    </row>
    <row r="507" spans="1:14" ht="22.5" hidden="1" x14ac:dyDescent="0.2">
      <c r="A507" s="609" t="str">
        <f>+UPPER("Promedio de las deudas contratadas con el sistema financiero")</f>
        <v>PROMEDIO DE LAS DEUDAS CONTRATADAS CON EL SISTEMA FINANCIERO</v>
      </c>
      <c r="B507" s="607"/>
      <c r="C507" s="607"/>
      <c r="D507" s="608"/>
      <c r="E507" s="608"/>
      <c r="F507" s="607"/>
      <c r="G507" s="607"/>
      <c r="H507" s="606"/>
      <c r="I507" s="606"/>
      <c r="J507" s="606"/>
      <c r="K507" s="606"/>
      <c r="L507" s="610"/>
      <c r="M507" s="610"/>
      <c r="N507" s="610"/>
    </row>
    <row r="508" spans="1:14" ht="22.5" hidden="1" x14ac:dyDescent="0.2">
      <c r="A508" s="609" t="str">
        <f>+UPPER("Promedio con las deudas contratadas con  residentes en el extranjero")</f>
        <v>PROMEDIO CON LAS DEUDAS CONTRATADAS CON  RESIDENTES EN EL EXTRANJERO</v>
      </c>
      <c r="B508" s="607"/>
      <c r="C508" s="607"/>
      <c r="D508" s="608"/>
      <c r="E508" s="608"/>
      <c r="F508" s="607"/>
      <c r="G508" s="607"/>
      <c r="H508" s="606"/>
      <c r="I508" s="606"/>
      <c r="J508" s="606"/>
      <c r="K508" s="606"/>
      <c r="L508" s="610">
        <v>255000</v>
      </c>
      <c r="M508" s="610">
        <v>255000</v>
      </c>
      <c r="N508" s="610"/>
    </row>
    <row r="509" spans="1:14" hidden="1" x14ac:dyDescent="0.2">
      <c r="A509" s="609" t="str">
        <f>+UPPER("Promedio de las deudas contratadas con otros")</f>
        <v>PROMEDIO DE LAS DEUDAS CONTRATADAS CON OTROS</v>
      </c>
      <c r="B509" s="607"/>
      <c r="C509" s="607"/>
      <c r="D509" s="608"/>
      <c r="E509" s="608"/>
      <c r="F509" s="607"/>
      <c r="G509" s="607"/>
      <c r="H509" s="606"/>
      <c r="I509" s="606"/>
      <c r="J509" s="606"/>
      <c r="K509" s="606"/>
      <c r="L509" s="610"/>
      <c r="M509" s="610"/>
      <c r="N509" s="610"/>
    </row>
    <row r="510" spans="1:14" hidden="1" x14ac:dyDescent="0.2">
      <c r="A510" s="599" t="str">
        <f>+UPPER("Valor del activo en el ejercicio")</f>
        <v>VALOR DEL ACTIVO EN EL EJERCICIO</v>
      </c>
      <c r="B510" s="603"/>
      <c r="C510" s="603"/>
      <c r="D510" s="604"/>
      <c r="E510" s="604"/>
      <c r="F510" s="603"/>
      <c r="G510" s="603"/>
      <c r="H510" s="602"/>
      <c r="I510" s="602"/>
      <c r="J510" s="602"/>
      <c r="K510" s="602"/>
      <c r="L510" s="600">
        <v>895000</v>
      </c>
      <c r="M510" s="600">
        <v>895000</v>
      </c>
      <c r="N510" s="600">
        <v>0</v>
      </c>
    </row>
    <row r="511" spans="1:14" hidden="1" x14ac:dyDescent="0.2">
      <c r="A511" s="599" t="str">
        <f>+UPPER("Tasa de impac")</f>
        <v>TASA DE IMPAC</v>
      </c>
      <c r="B511" s="603"/>
      <c r="C511" s="603"/>
      <c r="D511" s="604"/>
      <c r="E511" s="604"/>
      <c r="F511" s="603"/>
      <c r="G511" s="603"/>
      <c r="H511" s="602"/>
      <c r="I511" s="602"/>
      <c r="J511" s="602"/>
      <c r="K511" s="602"/>
      <c r="L511" s="615">
        <v>1.7999999999999999E-2</v>
      </c>
      <c r="M511" s="615">
        <v>1.7999999999999999E-2</v>
      </c>
      <c r="N511" s="615">
        <v>1.7999999999999999E-2</v>
      </c>
    </row>
    <row r="512" spans="1:14" hidden="1" x14ac:dyDescent="0.2">
      <c r="A512" s="609" t="s">
        <v>217</v>
      </c>
      <c r="B512" s="607"/>
      <c r="C512" s="607"/>
      <c r="D512" s="608"/>
      <c r="E512" s="608"/>
      <c r="F512" s="607"/>
      <c r="G512" s="607"/>
      <c r="H512" s="606"/>
      <c r="I512" s="606"/>
      <c r="J512" s="606"/>
      <c r="K512" s="606"/>
      <c r="L512" s="610">
        <v>16109.999999999998</v>
      </c>
      <c r="M512" s="610">
        <v>16109.999999999998</v>
      </c>
      <c r="N512" s="610">
        <v>0</v>
      </c>
    </row>
    <row r="513" spans="1:14" hidden="1" x14ac:dyDescent="0.2">
      <c r="A513" s="614" t="s">
        <v>731</v>
      </c>
      <c r="B513" s="612"/>
      <c r="C513" s="612"/>
      <c r="D513" s="613"/>
      <c r="E513" s="613"/>
      <c r="F513" s="612"/>
      <c r="G513" s="612"/>
      <c r="H513" s="611"/>
      <c r="I513" s="611"/>
      <c r="J513" s="611"/>
      <c r="K513" s="611"/>
      <c r="L513" s="610"/>
      <c r="M513" s="610"/>
      <c r="N513" s="610"/>
    </row>
    <row r="514" spans="1:14" hidden="1" x14ac:dyDescent="0.2">
      <c r="A514" s="609" t="s">
        <v>218</v>
      </c>
      <c r="B514" s="607"/>
      <c r="C514" s="607"/>
      <c r="D514" s="608"/>
      <c r="E514" s="608"/>
      <c r="F514" s="607"/>
      <c r="G514" s="607"/>
      <c r="H514" s="606"/>
      <c r="I514" s="606"/>
      <c r="J514" s="606"/>
      <c r="K514" s="606"/>
      <c r="L514" s="610"/>
      <c r="M514" s="610"/>
      <c r="N514" s="610"/>
    </row>
    <row r="515" spans="1:14" hidden="1" x14ac:dyDescent="0.2">
      <c r="A515" s="609" t="s">
        <v>732</v>
      </c>
      <c r="B515" s="607"/>
      <c r="C515" s="607"/>
      <c r="D515" s="608"/>
      <c r="E515" s="608"/>
      <c r="F515" s="607"/>
      <c r="G515" s="607"/>
      <c r="H515" s="606"/>
      <c r="I515" s="606"/>
      <c r="J515" s="606"/>
      <c r="K515" s="606"/>
      <c r="L515" s="610"/>
      <c r="M515" s="610"/>
      <c r="N515" s="610"/>
    </row>
    <row r="516" spans="1:14" hidden="1" x14ac:dyDescent="0.2">
      <c r="A516" s="599" t="s">
        <v>219</v>
      </c>
      <c r="B516" s="603"/>
      <c r="C516" s="603"/>
      <c r="D516" s="604"/>
      <c r="E516" s="604"/>
      <c r="F516" s="603"/>
      <c r="G516" s="603"/>
      <c r="H516" s="602"/>
      <c r="I516" s="602"/>
      <c r="J516" s="602"/>
      <c r="K516" s="602"/>
      <c r="L516" s="600">
        <v>16109.999999999998</v>
      </c>
      <c r="M516" s="600">
        <v>16109.999999999998</v>
      </c>
      <c r="N516" s="600">
        <v>0</v>
      </c>
    </row>
    <row r="517" spans="1:14" hidden="1" x14ac:dyDescent="0.2">
      <c r="A517" s="609" t="s">
        <v>220</v>
      </c>
      <c r="B517" s="607"/>
      <c r="C517" s="607"/>
      <c r="D517" s="608"/>
      <c r="E517" s="608"/>
      <c r="F517" s="607"/>
      <c r="G517" s="607"/>
      <c r="H517" s="606"/>
      <c r="I517" s="606"/>
      <c r="J517" s="606"/>
      <c r="K517" s="606"/>
      <c r="L517" s="605">
        <v>1</v>
      </c>
      <c r="M517" s="605">
        <v>1</v>
      </c>
      <c r="N517" s="605"/>
    </row>
    <row r="518" spans="1:14" hidden="1" x14ac:dyDescent="0.2">
      <c r="A518" s="609" t="s">
        <v>733</v>
      </c>
      <c r="B518" s="607"/>
      <c r="C518" s="607"/>
      <c r="D518" s="608"/>
      <c r="E518" s="608"/>
      <c r="F518" s="607"/>
      <c r="G518" s="607"/>
      <c r="H518" s="606"/>
      <c r="I518" s="606"/>
      <c r="J518" s="606"/>
      <c r="K518" s="606"/>
      <c r="L518" s="605">
        <v>1</v>
      </c>
      <c r="M518" s="605">
        <v>1</v>
      </c>
      <c r="N518" s="605"/>
    </row>
    <row r="519" spans="1:14" hidden="1" x14ac:dyDescent="0.2">
      <c r="A519" s="609" t="s">
        <v>221</v>
      </c>
      <c r="B519" s="607"/>
      <c r="C519" s="607"/>
      <c r="D519" s="608"/>
      <c r="E519" s="608"/>
      <c r="F519" s="607"/>
      <c r="G519" s="607"/>
      <c r="H519" s="606"/>
      <c r="I519" s="606"/>
      <c r="J519" s="606"/>
      <c r="K519" s="606"/>
      <c r="L519" s="605"/>
      <c r="M519" s="605"/>
      <c r="N519" s="605"/>
    </row>
    <row r="520" spans="1:14" ht="22.5" hidden="1" x14ac:dyDescent="0.2">
      <c r="A520" s="609" t="s">
        <v>222</v>
      </c>
      <c r="B520" s="607"/>
      <c r="C520" s="607"/>
      <c r="D520" s="608"/>
      <c r="E520" s="608"/>
      <c r="F520" s="607"/>
      <c r="G520" s="607"/>
      <c r="H520" s="606"/>
      <c r="I520" s="606"/>
      <c r="J520" s="606"/>
      <c r="K520" s="606"/>
      <c r="L520" s="605"/>
      <c r="M520" s="605"/>
      <c r="N520" s="605"/>
    </row>
    <row r="521" spans="1:14" hidden="1" x14ac:dyDescent="0.2">
      <c r="A521" s="609" t="s">
        <v>726</v>
      </c>
      <c r="B521" s="607"/>
      <c r="C521" s="607"/>
      <c r="D521" s="608"/>
      <c r="E521" s="608"/>
      <c r="F521" s="607"/>
      <c r="G521" s="607"/>
      <c r="H521" s="606"/>
      <c r="I521" s="606"/>
      <c r="J521" s="606"/>
      <c r="K521" s="606"/>
      <c r="L521" s="605"/>
      <c r="M521" s="605"/>
      <c r="N521" s="605"/>
    </row>
    <row r="522" spans="1:14" ht="22.5" hidden="1" x14ac:dyDescent="0.2">
      <c r="A522" s="609" t="s">
        <v>734</v>
      </c>
      <c r="B522" s="607"/>
      <c r="C522" s="607"/>
      <c r="D522" s="608"/>
      <c r="E522" s="608"/>
      <c r="F522" s="607"/>
      <c r="G522" s="607"/>
      <c r="H522" s="606"/>
      <c r="I522" s="606"/>
      <c r="J522" s="606"/>
      <c r="K522" s="606"/>
      <c r="L522" s="605">
        <v>1</v>
      </c>
      <c r="M522" s="605">
        <v>1</v>
      </c>
      <c r="N522" s="605"/>
    </row>
    <row r="523" spans="1:14" ht="22.5" hidden="1" x14ac:dyDescent="0.2">
      <c r="A523" s="609" t="s">
        <v>223</v>
      </c>
      <c r="B523" s="607"/>
      <c r="C523" s="607"/>
      <c r="D523" s="608"/>
      <c r="E523" s="608"/>
      <c r="F523" s="607"/>
      <c r="G523" s="607"/>
      <c r="H523" s="606"/>
      <c r="I523" s="606"/>
      <c r="J523" s="606"/>
      <c r="K523" s="606"/>
      <c r="L523" s="605"/>
      <c r="M523" s="605"/>
      <c r="N523" s="605"/>
    </row>
    <row r="524" spans="1:14" ht="22.5" hidden="1" x14ac:dyDescent="0.2">
      <c r="A524" s="609" t="s">
        <v>224</v>
      </c>
      <c r="B524" s="607"/>
      <c r="C524" s="607"/>
      <c r="D524" s="608"/>
      <c r="E524" s="608"/>
      <c r="F524" s="607"/>
      <c r="G524" s="607"/>
      <c r="H524" s="606"/>
      <c r="I524" s="606"/>
      <c r="J524" s="606"/>
      <c r="K524" s="606"/>
      <c r="L524" s="605"/>
      <c r="M524" s="605"/>
      <c r="N524" s="605"/>
    </row>
    <row r="525" spans="1:14" hidden="1" x14ac:dyDescent="0.2">
      <c r="A525" s="599" t="s">
        <v>225</v>
      </c>
      <c r="B525" s="603"/>
      <c r="C525" s="603"/>
      <c r="D525" s="604"/>
      <c r="E525" s="604"/>
      <c r="F525" s="603"/>
      <c r="G525" s="603"/>
      <c r="H525" s="602"/>
      <c r="I525" s="602"/>
      <c r="J525" s="602"/>
      <c r="K525" s="602"/>
      <c r="L525" s="601">
        <v>16107.999999999998</v>
      </c>
      <c r="M525" s="601">
        <v>16107.999999999998</v>
      </c>
      <c r="N525" s="600"/>
    </row>
    <row r="526" spans="1:14" hidden="1" x14ac:dyDescent="0.2">
      <c r="A526" s="599" t="s">
        <v>226</v>
      </c>
      <c r="B526" s="603"/>
      <c r="C526" s="603"/>
      <c r="D526" s="604"/>
      <c r="E526" s="604"/>
      <c r="F526" s="603"/>
      <c r="G526" s="603"/>
      <c r="H526" s="602"/>
      <c r="I526" s="602"/>
      <c r="J526" s="602"/>
      <c r="K526" s="602"/>
      <c r="L526" s="601"/>
      <c r="M526" s="601"/>
      <c r="N526" s="600"/>
    </row>
    <row r="527" spans="1:14" hidden="1" x14ac:dyDescent="0.2">
      <c r="A527" s="609" t="s">
        <v>227</v>
      </c>
      <c r="B527" s="607"/>
      <c r="C527" s="607"/>
      <c r="D527" s="608"/>
      <c r="E527" s="608"/>
      <c r="F527" s="607"/>
      <c r="G527" s="607"/>
      <c r="H527" s="606"/>
      <c r="I527" s="606"/>
      <c r="J527" s="606"/>
      <c r="K527" s="606"/>
      <c r="L527" s="605"/>
      <c r="M527" s="605"/>
      <c r="N527" s="605"/>
    </row>
    <row r="528" spans="1:14" ht="22.5" hidden="1" x14ac:dyDescent="0.2">
      <c r="A528" s="609" t="s">
        <v>228</v>
      </c>
      <c r="B528" s="607"/>
      <c r="C528" s="607"/>
      <c r="D528" s="608"/>
      <c r="E528" s="608"/>
      <c r="F528" s="607"/>
      <c r="G528" s="607"/>
      <c r="H528" s="606"/>
      <c r="I528" s="606"/>
      <c r="J528" s="606"/>
      <c r="K528" s="606"/>
      <c r="L528" s="605"/>
      <c r="M528" s="605"/>
      <c r="N528" s="605"/>
    </row>
    <row r="529" spans="1:14" hidden="1" x14ac:dyDescent="0.2">
      <c r="A529" s="599" t="s">
        <v>229</v>
      </c>
      <c r="B529" s="603"/>
      <c r="C529" s="603"/>
      <c r="D529" s="604"/>
      <c r="E529" s="604"/>
      <c r="F529" s="603"/>
      <c r="G529" s="603"/>
      <c r="H529" s="602"/>
      <c r="I529" s="602"/>
      <c r="J529" s="602"/>
      <c r="K529" s="602"/>
      <c r="L529" s="601">
        <v>16107.999999999998</v>
      </c>
      <c r="M529" s="601">
        <v>16107.999999999998</v>
      </c>
      <c r="N529" s="600"/>
    </row>
    <row r="530" spans="1:14" hidden="1" x14ac:dyDescent="0.2">
      <c r="A530" s="599" t="s">
        <v>230</v>
      </c>
      <c r="B530" s="597"/>
      <c r="C530" s="597"/>
      <c r="D530" s="598"/>
      <c r="E530" s="598"/>
      <c r="F530" s="597"/>
      <c r="G530" s="597"/>
      <c r="H530" s="596"/>
      <c r="I530" s="596"/>
      <c r="J530" s="596"/>
      <c r="K530" s="596"/>
      <c r="L530" s="595"/>
      <c r="M530" s="595"/>
      <c r="N530" s="595"/>
    </row>
    <row r="531" spans="1:14" x14ac:dyDescent="0.2">
      <c r="A531" s="593"/>
      <c r="B531" s="593"/>
      <c r="C531" s="593"/>
      <c r="D531" s="594"/>
      <c r="E531" s="594"/>
      <c r="F531" s="593"/>
      <c r="G531" s="593"/>
      <c r="H531" s="593"/>
      <c r="I531" s="593"/>
      <c r="J531" s="593"/>
      <c r="K531" s="593"/>
      <c r="L531" s="593"/>
      <c r="M531" s="564"/>
      <c r="N531" s="564"/>
    </row>
    <row r="532" spans="1:14" x14ac:dyDescent="0.2">
      <c r="A532" s="590"/>
      <c r="B532" s="590"/>
      <c r="C532" s="590"/>
      <c r="D532" s="592"/>
      <c r="E532" s="592"/>
      <c r="F532" s="590"/>
      <c r="G532" s="590"/>
      <c r="H532" s="590"/>
      <c r="I532" s="590"/>
      <c r="J532" s="590"/>
      <c r="K532" s="590"/>
      <c r="L532" s="590"/>
      <c r="M532" s="591"/>
      <c r="N532" s="591"/>
    </row>
    <row r="533" spans="1:14" hidden="1" x14ac:dyDescent="0.2">
      <c r="A533" s="590"/>
      <c r="B533" s="590">
        <f t="shared" ref="B533:N533" si="103">+B500</f>
        <v>2017</v>
      </c>
      <c r="C533" s="590">
        <f t="shared" si="103"/>
        <v>2016</v>
      </c>
      <c r="D533" s="590">
        <f t="shared" si="103"/>
        <v>2015</v>
      </c>
      <c r="E533" s="590" t="str">
        <f t="shared" si="103"/>
        <v>2014 comp</v>
      </c>
      <c r="F533" s="590" t="str">
        <f t="shared" si="103"/>
        <v>2013 CXD</v>
      </c>
      <c r="G533" s="590" t="str">
        <f t="shared" si="103"/>
        <v>2012 CD</v>
      </c>
      <c r="H533" s="590" t="str">
        <f t="shared" si="103"/>
        <v>2011 CD</v>
      </c>
      <c r="I533" s="590">
        <f t="shared" si="103"/>
        <v>2010</v>
      </c>
      <c r="J533" s="590">
        <f t="shared" si="103"/>
        <v>2009</v>
      </c>
      <c r="K533" s="590">
        <f t="shared" si="103"/>
        <v>2008</v>
      </c>
      <c r="L533" s="590">
        <f t="shared" si="103"/>
        <v>0</v>
      </c>
      <c r="M533" s="590">
        <f t="shared" si="103"/>
        <v>0</v>
      </c>
      <c r="N533" s="590">
        <f t="shared" si="103"/>
        <v>0</v>
      </c>
    </row>
    <row r="534" spans="1:14" hidden="1" x14ac:dyDescent="0.2">
      <c r="A534" s="589" t="s">
        <v>895</v>
      </c>
      <c r="B534" s="588" t="s">
        <v>869</v>
      </c>
      <c r="C534" s="588" t="s">
        <v>869</v>
      </c>
      <c r="D534" s="588" t="s">
        <v>869</v>
      </c>
      <c r="E534" s="588" t="s">
        <v>869</v>
      </c>
      <c r="F534" s="588" t="s">
        <v>560</v>
      </c>
      <c r="G534" s="588" t="s">
        <v>560</v>
      </c>
      <c r="H534" s="588" t="s">
        <v>560</v>
      </c>
      <c r="I534" s="588" t="s">
        <v>560</v>
      </c>
      <c r="J534" s="588" t="s">
        <v>560</v>
      </c>
      <c r="K534" s="588" t="s">
        <v>560</v>
      </c>
      <c r="L534" s="588" t="s">
        <v>869</v>
      </c>
      <c r="M534" s="588" t="s">
        <v>869</v>
      </c>
      <c r="N534" s="588" t="s">
        <v>869</v>
      </c>
    </row>
    <row r="535" spans="1:14" ht="45" hidden="1" x14ac:dyDescent="0.2">
      <c r="A535" s="535" t="s">
        <v>735</v>
      </c>
      <c r="B535" s="537"/>
      <c r="C535" s="537"/>
      <c r="D535" s="536"/>
      <c r="E535" s="536"/>
      <c r="F535" s="587" t="s">
        <v>736</v>
      </c>
      <c r="G535" s="587" t="s">
        <v>736</v>
      </c>
      <c r="H535" s="587" t="s">
        <v>736</v>
      </c>
      <c r="I535" s="587" t="s">
        <v>736</v>
      </c>
      <c r="J535" s="587" t="s">
        <v>736</v>
      </c>
      <c r="K535" s="587" t="s">
        <v>736</v>
      </c>
      <c r="L535" s="534"/>
      <c r="M535" s="534"/>
      <c r="N535" s="533"/>
    </row>
    <row r="536" spans="1:14" hidden="1" x14ac:dyDescent="0.2">
      <c r="A536" s="551" t="s">
        <v>737</v>
      </c>
      <c r="B536" s="547"/>
      <c r="C536" s="547"/>
      <c r="D536" s="546"/>
      <c r="E536" s="546"/>
      <c r="F536" s="551"/>
      <c r="G536" s="551"/>
      <c r="H536" s="568"/>
      <c r="I536" s="568"/>
      <c r="J536" s="568"/>
      <c r="K536" s="568"/>
      <c r="L536" s="534"/>
      <c r="M536" s="534"/>
      <c r="N536" s="533"/>
    </row>
    <row r="537" spans="1:14" hidden="1" x14ac:dyDescent="0.2">
      <c r="A537" s="535" t="s">
        <v>738</v>
      </c>
      <c r="B537" s="537"/>
      <c r="C537" s="537"/>
      <c r="D537" s="536"/>
      <c r="E537" s="536"/>
      <c r="F537" s="535"/>
      <c r="G537" s="535"/>
      <c r="H537" s="568"/>
      <c r="I537" s="568"/>
      <c r="J537" s="568">
        <v>765432</v>
      </c>
      <c r="K537" s="568">
        <v>765432</v>
      </c>
      <c r="L537" s="534"/>
      <c r="M537" s="534"/>
      <c r="N537" s="533"/>
    </row>
    <row r="538" spans="1:14" hidden="1" x14ac:dyDescent="0.2">
      <c r="A538" s="535" t="s">
        <v>739</v>
      </c>
      <c r="B538" s="537"/>
      <c r="C538" s="537"/>
      <c r="D538" s="536"/>
      <c r="E538" s="536"/>
      <c r="F538" s="535"/>
      <c r="G538" s="535"/>
      <c r="H538" s="568"/>
      <c r="I538" s="568"/>
      <c r="J538" s="568">
        <v>34567</v>
      </c>
      <c r="K538" s="568">
        <v>34567</v>
      </c>
      <c r="L538" s="534"/>
      <c r="M538" s="534"/>
      <c r="N538" s="533"/>
    </row>
    <row r="539" spans="1:14" hidden="1" x14ac:dyDescent="0.2">
      <c r="A539" s="535" t="s">
        <v>740</v>
      </c>
      <c r="B539" s="537"/>
      <c r="C539" s="537"/>
      <c r="D539" s="536"/>
      <c r="E539" s="536"/>
      <c r="F539" s="568">
        <v>5928567.5625</v>
      </c>
      <c r="G539" s="568">
        <v>7118426.5948275849</v>
      </c>
      <c r="H539" s="568">
        <v>5339468.55</v>
      </c>
      <c r="I539" s="568"/>
      <c r="J539" s="568">
        <v>4565</v>
      </c>
      <c r="K539" s="568">
        <v>4565</v>
      </c>
      <c r="L539" s="534"/>
      <c r="M539" s="534"/>
      <c r="N539" s="533"/>
    </row>
    <row r="540" spans="1:14" hidden="1" x14ac:dyDescent="0.2">
      <c r="A540" s="535" t="s">
        <v>894</v>
      </c>
      <c r="B540" s="537"/>
      <c r="C540" s="537"/>
      <c r="D540" s="536"/>
      <c r="E540" s="536"/>
      <c r="F540" s="535"/>
      <c r="G540" s="535"/>
      <c r="H540" s="568"/>
      <c r="I540" s="568"/>
      <c r="J540" s="568">
        <v>454</v>
      </c>
      <c r="K540" s="568">
        <v>454</v>
      </c>
      <c r="L540" s="534"/>
      <c r="M540" s="534"/>
      <c r="N540" s="533"/>
    </row>
    <row r="541" spans="1:14" hidden="1" x14ac:dyDescent="0.2">
      <c r="A541" s="535" t="s">
        <v>741</v>
      </c>
      <c r="B541" s="537"/>
      <c r="C541" s="537"/>
      <c r="D541" s="536"/>
      <c r="E541" s="536"/>
      <c r="F541" s="535"/>
      <c r="G541" s="535"/>
      <c r="H541" s="568"/>
      <c r="I541" s="568"/>
      <c r="J541" s="568">
        <v>3455432</v>
      </c>
      <c r="K541" s="568">
        <v>3455432</v>
      </c>
      <c r="L541" s="534"/>
      <c r="M541" s="534"/>
      <c r="N541" s="533"/>
    </row>
    <row r="542" spans="1:14" hidden="1" x14ac:dyDescent="0.2">
      <c r="A542" s="535" t="s">
        <v>742</v>
      </c>
      <c r="B542" s="537"/>
      <c r="C542" s="537"/>
      <c r="D542" s="536"/>
      <c r="E542" s="536"/>
      <c r="F542" s="535"/>
      <c r="G542" s="535"/>
      <c r="H542" s="568"/>
      <c r="I542" s="568"/>
      <c r="J542" s="568">
        <v>24543</v>
      </c>
      <c r="K542" s="568">
        <v>24543</v>
      </c>
      <c r="L542" s="534"/>
      <c r="M542" s="534"/>
      <c r="N542" s="533"/>
    </row>
    <row r="543" spans="1:14" hidden="1" x14ac:dyDescent="0.2">
      <c r="A543" s="558" t="s">
        <v>893</v>
      </c>
      <c r="B543" s="537"/>
      <c r="C543" s="537"/>
      <c r="D543" s="536"/>
      <c r="E543" s="536"/>
      <c r="F543" s="558"/>
      <c r="G543" s="558"/>
      <c r="H543" s="568"/>
      <c r="I543" s="568"/>
      <c r="J543" s="568"/>
      <c r="K543" s="568"/>
      <c r="L543" s="534"/>
      <c r="M543" s="534"/>
      <c r="N543" s="533"/>
    </row>
    <row r="544" spans="1:14" ht="33.75" hidden="1" x14ac:dyDescent="0.2">
      <c r="A544" s="558" t="s">
        <v>892</v>
      </c>
      <c r="B544" s="537"/>
      <c r="C544" s="537"/>
      <c r="D544" s="536"/>
      <c r="E544" s="536"/>
      <c r="F544" s="558"/>
      <c r="G544" s="558"/>
      <c r="H544" s="568"/>
      <c r="I544" s="568"/>
      <c r="J544" s="568"/>
      <c r="K544" s="568"/>
      <c r="L544" s="534"/>
      <c r="M544" s="534"/>
      <c r="N544" s="533"/>
    </row>
    <row r="545" spans="1:14" ht="22.5" hidden="1" x14ac:dyDescent="0.2">
      <c r="A545" s="558" t="s">
        <v>891</v>
      </c>
      <c r="B545" s="537"/>
      <c r="C545" s="537"/>
      <c r="D545" s="536"/>
      <c r="E545" s="536"/>
      <c r="F545" s="558"/>
      <c r="G545" s="558"/>
      <c r="H545" s="568"/>
      <c r="I545" s="568"/>
      <c r="J545" s="568"/>
      <c r="K545" s="568"/>
      <c r="L545" s="534"/>
      <c r="M545" s="534"/>
      <c r="N545" s="533"/>
    </row>
    <row r="546" spans="1:14" hidden="1" x14ac:dyDescent="0.2">
      <c r="A546" s="558" t="s">
        <v>890</v>
      </c>
      <c r="B546" s="537"/>
      <c r="C546" s="537"/>
      <c r="D546" s="536"/>
      <c r="E546" s="536"/>
      <c r="F546" s="558"/>
      <c r="G546" s="558"/>
      <c r="H546" s="568"/>
      <c r="I546" s="568"/>
      <c r="J546" s="568"/>
      <c r="K546" s="568"/>
      <c r="L546" s="534"/>
      <c r="M546" s="534"/>
      <c r="N546" s="533"/>
    </row>
    <row r="547" spans="1:14" hidden="1" x14ac:dyDescent="0.2">
      <c r="A547" s="535" t="s">
        <v>889</v>
      </c>
      <c r="B547" s="537"/>
      <c r="C547" s="537"/>
      <c r="D547" s="536"/>
      <c r="E547" s="536"/>
      <c r="F547" s="535"/>
      <c r="G547" s="535"/>
      <c r="H547" s="568"/>
      <c r="I547" s="568"/>
      <c r="J547" s="568">
        <v>234543</v>
      </c>
      <c r="K547" s="568">
        <v>234543</v>
      </c>
      <c r="L547" s="534"/>
      <c r="M547" s="534"/>
      <c r="N547" s="533"/>
    </row>
    <row r="548" spans="1:14" hidden="1" x14ac:dyDescent="0.2">
      <c r="A548" s="562" t="s">
        <v>743</v>
      </c>
      <c r="B548" s="586"/>
      <c r="C548" s="586"/>
      <c r="D548" s="586"/>
      <c r="E548" s="586"/>
      <c r="F548" s="586">
        <v>5928567.5625</v>
      </c>
      <c r="G548" s="586">
        <v>7118426.5948275849</v>
      </c>
      <c r="H548" s="586">
        <v>5339468.55</v>
      </c>
      <c r="I548" s="586"/>
      <c r="J548" s="586">
        <v>4400408</v>
      </c>
      <c r="K548" s="586">
        <v>4400408</v>
      </c>
      <c r="L548" s="534"/>
      <c r="M548" s="534"/>
      <c r="N548" s="533"/>
    </row>
    <row r="549" spans="1:14" hidden="1" x14ac:dyDescent="0.2">
      <c r="A549" s="551" t="s">
        <v>744</v>
      </c>
      <c r="B549" s="547"/>
      <c r="C549" s="547"/>
      <c r="D549" s="546"/>
      <c r="E549" s="546"/>
      <c r="F549" s="551"/>
      <c r="G549" s="551"/>
      <c r="H549" s="585"/>
      <c r="I549" s="585"/>
      <c r="J549" s="585"/>
      <c r="K549" s="585"/>
      <c r="L549" s="534"/>
      <c r="M549" s="534"/>
      <c r="N549" s="533"/>
    </row>
    <row r="550" spans="1:14" hidden="1" x14ac:dyDescent="0.2">
      <c r="A550" s="535" t="s">
        <v>745</v>
      </c>
      <c r="B550" s="537"/>
      <c r="C550" s="537"/>
      <c r="D550" s="536"/>
      <c r="E550" s="536"/>
      <c r="F550" s="535"/>
      <c r="G550" s="535"/>
      <c r="H550" s="568" t="s">
        <v>887</v>
      </c>
      <c r="I550" s="568"/>
      <c r="J550" s="568" t="s">
        <v>887</v>
      </c>
      <c r="K550" s="568">
        <v>0</v>
      </c>
      <c r="L550" s="534"/>
      <c r="M550" s="534"/>
      <c r="N550" s="533"/>
    </row>
    <row r="551" spans="1:14" hidden="1" x14ac:dyDescent="0.2">
      <c r="A551" s="555" t="s">
        <v>746</v>
      </c>
      <c r="B551" s="557"/>
      <c r="C551" s="557"/>
      <c r="D551" s="556"/>
      <c r="E551" s="556"/>
      <c r="F551" s="555"/>
      <c r="G551" s="555"/>
      <c r="H551" s="568" t="s">
        <v>887</v>
      </c>
      <c r="I551" s="568"/>
      <c r="J551" s="568" t="s">
        <v>887</v>
      </c>
      <c r="K551" s="568">
        <v>0</v>
      </c>
      <c r="L551" s="534"/>
      <c r="M551" s="534"/>
      <c r="N551" s="533"/>
    </row>
    <row r="552" spans="1:14" hidden="1" x14ac:dyDescent="0.2">
      <c r="A552" s="555" t="s">
        <v>747</v>
      </c>
      <c r="B552" s="557"/>
      <c r="C552" s="557"/>
      <c r="D552" s="556"/>
      <c r="E552" s="556"/>
      <c r="F552" s="555"/>
      <c r="G552" s="555"/>
      <c r="H552" s="568" t="s">
        <v>887</v>
      </c>
      <c r="I552" s="568"/>
      <c r="J552" s="568" t="s">
        <v>887</v>
      </c>
      <c r="K552" s="568">
        <v>0</v>
      </c>
      <c r="L552" s="534"/>
      <c r="M552" s="534"/>
      <c r="N552" s="533"/>
    </row>
    <row r="553" spans="1:14" hidden="1" x14ac:dyDescent="0.2">
      <c r="A553" s="535" t="s">
        <v>748</v>
      </c>
      <c r="B553" s="537"/>
      <c r="C553" s="537"/>
      <c r="D553" s="536"/>
      <c r="E553" s="536"/>
      <c r="F553" s="535"/>
      <c r="G553" s="535"/>
      <c r="H553" s="568" t="s">
        <v>887</v>
      </c>
      <c r="I553" s="568"/>
      <c r="J553" s="568" t="s">
        <v>887</v>
      </c>
      <c r="K553" s="568">
        <v>0</v>
      </c>
      <c r="L553" s="534"/>
      <c r="M553" s="534"/>
      <c r="N553" s="533"/>
    </row>
    <row r="554" spans="1:14" hidden="1" x14ac:dyDescent="0.2">
      <c r="A554" s="535" t="s">
        <v>749</v>
      </c>
      <c r="B554" s="537"/>
      <c r="C554" s="537"/>
      <c r="D554" s="536"/>
      <c r="E554" s="536"/>
      <c r="F554" s="535"/>
      <c r="G554" s="535"/>
      <c r="H554" s="568" t="s">
        <v>887</v>
      </c>
      <c r="I554" s="568"/>
      <c r="J554" s="568" t="s">
        <v>887</v>
      </c>
      <c r="K554" s="568">
        <v>0</v>
      </c>
      <c r="L554" s="534"/>
      <c r="M554" s="534"/>
      <c r="N554" s="533"/>
    </row>
    <row r="555" spans="1:14" hidden="1" x14ac:dyDescent="0.2">
      <c r="A555" s="535" t="s">
        <v>750</v>
      </c>
      <c r="B555" s="537"/>
      <c r="C555" s="537"/>
      <c r="D555" s="536"/>
      <c r="E555" s="536"/>
      <c r="F555" s="535"/>
      <c r="G555" s="535"/>
      <c r="H555" s="568" t="s">
        <v>887</v>
      </c>
      <c r="I555" s="568"/>
      <c r="J555" s="568" t="s">
        <v>887</v>
      </c>
      <c r="K555" s="568">
        <v>0</v>
      </c>
      <c r="L555" s="534"/>
      <c r="M555" s="534"/>
      <c r="N555" s="533"/>
    </row>
    <row r="556" spans="1:14" ht="22.5" hidden="1" x14ac:dyDescent="0.2">
      <c r="A556" s="535" t="s">
        <v>751</v>
      </c>
      <c r="B556" s="537"/>
      <c r="C556" s="537"/>
      <c r="D556" s="536"/>
      <c r="E556" s="536"/>
      <c r="F556" s="535"/>
      <c r="G556" s="535"/>
      <c r="H556" s="568" t="s">
        <v>887</v>
      </c>
      <c r="I556" s="568"/>
      <c r="J556" s="568" t="s">
        <v>887</v>
      </c>
      <c r="K556" s="568">
        <v>0</v>
      </c>
      <c r="L556" s="534"/>
      <c r="M556" s="534"/>
      <c r="N556" s="533"/>
    </row>
    <row r="557" spans="1:14" ht="22.5" hidden="1" x14ac:dyDescent="0.2">
      <c r="A557" s="535" t="s">
        <v>752</v>
      </c>
      <c r="B557" s="537"/>
      <c r="C557" s="537"/>
      <c r="D557" s="536"/>
      <c r="E557" s="536"/>
      <c r="F557" s="535"/>
      <c r="G557" s="535"/>
      <c r="H557" s="568" t="s">
        <v>887</v>
      </c>
      <c r="I557" s="568"/>
      <c r="J557" s="568" t="s">
        <v>887</v>
      </c>
      <c r="K557" s="568">
        <v>0</v>
      </c>
      <c r="L557" s="534"/>
      <c r="M557" s="534"/>
      <c r="N557" s="533"/>
    </row>
    <row r="558" spans="1:14" ht="22.5" hidden="1" x14ac:dyDescent="0.2">
      <c r="A558" s="535" t="s">
        <v>753</v>
      </c>
      <c r="B558" s="537"/>
      <c r="C558" s="537"/>
      <c r="D558" s="536"/>
      <c r="E558" s="536"/>
      <c r="F558" s="535"/>
      <c r="G558" s="535"/>
      <c r="H558" s="568"/>
      <c r="I558" s="568"/>
      <c r="J558" s="568"/>
      <c r="K558" s="568"/>
      <c r="L558" s="534"/>
      <c r="M558" s="534"/>
      <c r="N558" s="533"/>
    </row>
    <row r="559" spans="1:14" ht="22.5" hidden="1" x14ac:dyDescent="0.2">
      <c r="A559" s="535" t="s">
        <v>754</v>
      </c>
      <c r="B559" s="537"/>
      <c r="C559" s="537"/>
      <c r="D559" s="536"/>
      <c r="E559" s="536"/>
      <c r="F559" s="535"/>
      <c r="G559" s="535"/>
      <c r="H559" s="568"/>
      <c r="I559" s="568"/>
      <c r="J559" s="568"/>
      <c r="K559" s="568"/>
      <c r="L559" s="534"/>
      <c r="M559" s="534"/>
      <c r="N559" s="533"/>
    </row>
    <row r="560" spans="1:14" hidden="1" x14ac:dyDescent="0.2">
      <c r="A560" s="535" t="s">
        <v>755</v>
      </c>
      <c r="B560" s="537"/>
      <c r="C560" s="537"/>
      <c r="D560" s="536"/>
      <c r="E560" s="536"/>
      <c r="F560" s="535"/>
      <c r="G560" s="535"/>
      <c r="H560" s="568"/>
      <c r="I560" s="568"/>
      <c r="J560" s="568"/>
      <c r="K560" s="568"/>
      <c r="L560" s="534"/>
      <c r="M560" s="534"/>
      <c r="N560" s="533"/>
    </row>
    <row r="561" spans="1:14" hidden="1" x14ac:dyDescent="0.2">
      <c r="A561" s="535" t="s">
        <v>756</v>
      </c>
      <c r="B561" s="537"/>
      <c r="C561" s="537"/>
      <c r="D561" s="536"/>
      <c r="E561" s="536"/>
      <c r="F561" s="535"/>
      <c r="G561" s="535"/>
      <c r="H561" s="568" t="s">
        <v>887</v>
      </c>
      <c r="I561" s="568"/>
      <c r="J561" s="568" t="s">
        <v>887</v>
      </c>
      <c r="K561" s="568">
        <v>0</v>
      </c>
      <c r="L561" s="534"/>
      <c r="M561" s="534"/>
      <c r="N561" s="533"/>
    </row>
    <row r="562" spans="1:14" hidden="1" x14ac:dyDescent="0.2">
      <c r="A562" s="535" t="s">
        <v>757</v>
      </c>
      <c r="B562" s="537"/>
      <c r="C562" s="537"/>
      <c r="D562" s="536"/>
      <c r="E562" s="536"/>
      <c r="F562" s="535"/>
      <c r="G562" s="535"/>
      <c r="H562" s="568" t="s">
        <v>887</v>
      </c>
      <c r="I562" s="568"/>
      <c r="J562" s="568" t="s">
        <v>887</v>
      </c>
      <c r="K562" s="568">
        <v>0</v>
      </c>
      <c r="L562" s="534"/>
      <c r="M562" s="534"/>
      <c r="N562" s="533"/>
    </row>
    <row r="563" spans="1:14" ht="22.5" hidden="1" x14ac:dyDescent="0.2">
      <c r="A563" s="535" t="s">
        <v>758</v>
      </c>
      <c r="B563" s="537"/>
      <c r="C563" s="537"/>
      <c r="D563" s="536"/>
      <c r="E563" s="536"/>
      <c r="F563" s="535"/>
      <c r="G563" s="535"/>
      <c r="H563" s="568"/>
      <c r="I563" s="568"/>
      <c r="J563" s="568"/>
      <c r="K563" s="568"/>
      <c r="L563" s="534"/>
      <c r="M563" s="534"/>
      <c r="N563" s="533"/>
    </row>
    <row r="564" spans="1:14" ht="33.75" hidden="1" x14ac:dyDescent="0.2">
      <c r="A564" s="535" t="s">
        <v>759</v>
      </c>
      <c r="B564" s="537"/>
      <c r="C564" s="537"/>
      <c r="D564" s="536"/>
      <c r="E564" s="536"/>
      <c r="F564" s="535"/>
      <c r="G564" s="535"/>
      <c r="H564" s="568"/>
      <c r="I564" s="568"/>
      <c r="J564" s="568"/>
      <c r="K564" s="568"/>
      <c r="L564" s="534"/>
      <c r="M564" s="534"/>
      <c r="N564" s="533"/>
    </row>
    <row r="565" spans="1:14" ht="22.5" hidden="1" x14ac:dyDescent="0.2">
      <c r="A565" s="535" t="s">
        <v>888</v>
      </c>
      <c r="B565" s="537"/>
      <c r="C565" s="537"/>
      <c r="D565" s="536"/>
      <c r="E565" s="536"/>
      <c r="F565" s="535"/>
      <c r="G565" s="535"/>
      <c r="H565" s="568"/>
      <c r="I565" s="568"/>
      <c r="J565" s="568"/>
      <c r="K565" s="568"/>
      <c r="L565" s="534"/>
      <c r="M565" s="534"/>
      <c r="N565" s="533"/>
    </row>
    <row r="566" spans="1:14" ht="22.5" hidden="1" x14ac:dyDescent="0.2">
      <c r="A566" s="535" t="s">
        <v>760</v>
      </c>
      <c r="B566" s="537"/>
      <c r="C566" s="537"/>
      <c r="D566" s="536"/>
      <c r="E566" s="536"/>
      <c r="F566" s="535"/>
      <c r="G566" s="535"/>
      <c r="H566" s="568" t="s">
        <v>887</v>
      </c>
      <c r="I566" s="568"/>
      <c r="J566" s="568" t="s">
        <v>887</v>
      </c>
      <c r="K566" s="568">
        <v>0</v>
      </c>
      <c r="L566" s="534"/>
      <c r="M566" s="534"/>
      <c r="N566" s="533"/>
    </row>
    <row r="567" spans="1:14" hidden="1" x14ac:dyDescent="0.2">
      <c r="A567" s="535" t="s">
        <v>761</v>
      </c>
      <c r="B567" s="537"/>
      <c r="C567" s="537"/>
      <c r="D567" s="536"/>
      <c r="E567" s="536"/>
      <c r="F567" s="535"/>
      <c r="G567" s="535"/>
      <c r="H567" s="568" t="s">
        <v>887</v>
      </c>
      <c r="I567" s="568"/>
      <c r="J567" s="568" t="s">
        <v>887</v>
      </c>
      <c r="K567" s="568">
        <v>0</v>
      </c>
      <c r="L567" s="534"/>
      <c r="M567" s="534"/>
      <c r="N567" s="533"/>
    </row>
    <row r="568" spans="1:14" s="580" customFormat="1" ht="22.5" hidden="1" x14ac:dyDescent="0.2">
      <c r="A568" s="535" t="s">
        <v>886</v>
      </c>
      <c r="B568" s="537"/>
      <c r="C568" s="537"/>
      <c r="D568" s="536"/>
      <c r="E568" s="536"/>
      <c r="F568" s="535"/>
      <c r="G568" s="535"/>
      <c r="H568" s="568"/>
      <c r="I568" s="568"/>
      <c r="J568" s="584"/>
      <c r="K568" s="583"/>
      <c r="L568" s="582"/>
      <c r="M568" s="582"/>
      <c r="N568" s="581"/>
    </row>
    <row r="569" spans="1:14" hidden="1" x14ac:dyDescent="0.2">
      <c r="A569" s="535" t="s">
        <v>762</v>
      </c>
      <c r="B569" s="537"/>
      <c r="C569" s="537"/>
      <c r="D569" s="536"/>
      <c r="E569" s="536"/>
      <c r="F569" s="568">
        <v>422949.62499999994</v>
      </c>
      <c r="G569" s="568">
        <v>527294.9</v>
      </c>
      <c r="H569" s="568">
        <v>198810.29000000004</v>
      </c>
      <c r="I569" s="568"/>
      <c r="J569" s="568"/>
      <c r="K569" s="568">
        <v>0</v>
      </c>
      <c r="L569" s="534"/>
      <c r="M569" s="534"/>
      <c r="N569" s="533"/>
    </row>
    <row r="570" spans="1:14" hidden="1" x14ac:dyDescent="0.2">
      <c r="A570" s="562" t="s">
        <v>763</v>
      </c>
      <c r="B570" s="540"/>
      <c r="C570" s="540"/>
      <c r="D570" s="539"/>
      <c r="E570" s="539"/>
      <c r="F570" s="561">
        <v>422949.62499999994</v>
      </c>
      <c r="G570" s="561">
        <v>527294.9</v>
      </c>
      <c r="H570" s="561">
        <v>198810.29000000004</v>
      </c>
      <c r="I570" s="561"/>
      <c r="J570" s="561"/>
      <c r="K570" s="561">
        <v>0</v>
      </c>
      <c r="L570" s="534"/>
      <c r="M570" s="534"/>
      <c r="N570" s="533"/>
    </row>
    <row r="571" spans="1:14" hidden="1" x14ac:dyDescent="0.2">
      <c r="A571" s="562" t="s">
        <v>764</v>
      </c>
      <c r="B571" s="540"/>
      <c r="C571" s="540"/>
      <c r="D571" s="539"/>
      <c r="E571" s="539"/>
      <c r="F571" s="561">
        <v>5505617.9375</v>
      </c>
      <c r="G571" s="561">
        <v>6591131.6948275845</v>
      </c>
      <c r="H571" s="561">
        <v>5140658.26</v>
      </c>
      <c r="I571" s="561"/>
      <c r="J571" s="561"/>
      <c r="K571" s="561">
        <v>4400408</v>
      </c>
      <c r="L571" s="534"/>
      <c r="M571" s="534"/>
      <c r="N571" s="533"/>
    </row>
    <row r="572" spans="1:14" hidden="1" x14ac:dyDescent="0.2">
      <c r="A572" s="562" t="s">
        <v>765</v>
      </c>
      <c r="B572" s="540"/>
      <c r="C572" s="540"/>
      <c r="D572" s="539"/>
      <c r="E572" s="539"/>
      <c r="F572" s="561">
        <v>0</v>
      </c>
      <c r="G572" s="561">
        <v>0</v>
      </c>
      <c r="H572" s="561">
        <v>0</v>
      </c>
      <c r="I572" s="561"/>
      <c r="J572" s="561"/>
      <c r="K572" s="561">
        <v>0</v>
      </c>
      <c r="L572" s="534"/>
      <c r="M572" s="534"/>
      <c r="N572" s="533"/>
    </row>
    <row r="573" spans="1:14" ht="22.5" hidden="1" x14ac:dyDescent="0.2">
      <c r="A573" s="577" t="s">
        <v>766</v>
      </c>
      <c r="B573" s="579"/>
      <c r="C573" s="579"/>
      <c r="D573" s="578"/>
      <c r="E573" s="578"/>
      <c r="F573" s="577"/>
      <c r="G573" s="577"/>
      <c r="H573" s="538"/>
      <c r="I573" s="538"/>
      <c r="J573" s="538"/>
      <c r="K573" s="538"/>
      <c r="L573" s="534"/>
      <c r="M573" s="534"/>
      <c r="N573" s="533"/>
    </row>
    <row r="574" spans="1:14" hidden="1" x14ac:dyDescent="0.2">
      <c r="A574" s="562" t="s">
        <v>764</v>
      </c>
      <c r="B574" s="540"/>
      <c r="C574" s="540"/>
      <c r="D574" s="539"/>
      <c r="E574" s="539"/>
      <c r="F574" s="561">
        <v>5505617.9375</v>
      </c>
      <c r="G574" s="561">
        <v>6591131.6948275845</v>
      </c>
      <c r="H574" s="561">
        <v>5140658.26</v>
      </c>
      <c r="I574" s="561"/>
      <c r="J574" s="561"/>
      <c r="K574" s="561">
        <v>4400408</v>
      </c>
      <c r="L574" s="534"/>
      <c r="M574" s="534"/>
      <c r="N574" s="533"/>
    </row>
    <row r="575" spans="1:14" hidden="1" x14ac:dyDescent="0.2">
      <c r="A575" s="576" t="s">
        <v>885</v>
      </c>
      <c r="B575" s="540"/>
      <c r="C575" s="540"/>
      <c r="D575" s="539"/>
      <c r="E575" s="539"/>
      <c r="F575" s="575">
        <v>0.17499999999999999</v>
      </c>
      <c r="G575" s="575">
        <v>0.17499999999999999</v>
      </c>
      <c r="H575" s="575">
        <v>0.17499999999999999</v>
      </c>
      <c r="I575" s="575"/>
      <c r="J575" s="575">
        <v>0.17</v>
      </c>
      <c r="K575" s="575">
        <v>0.16500000000000001</v>
      </c>
      <c r="L575" s="534"/>
      <c r="M575" s="534"/>
      <c r="N575" s="533"/>
    </row>
    <row r="576" spans="1:14" hidden="1" x14ac:dyDescent="0.2">
      <c r="A576" s="574" t="s">
        <v>767</v>
      </c>
      <c r="B576" s="573"/>
      <c r="C576" s="573"/>
      <c r="D576" s="539"/>
      <c r="E576" s="539"/>
      <c r="F576" s="572">
        <v>963483.13906249998</v>
      </c>
      <c r="G576" s="572">
        <v>1153448.0465948272</v>
      </c>
      <c r="H576" s="572">
        <v>899615.19549999991</v>
      </c>
      <c r="I576" s="572"/>
      <c r="J576" s="572"/>
      <c r="K576" s="572">
        <v>726067.32000000007</v>
      </c>
      <c r="L576" s="534"/>
      <c r="M576" s="534"/>
      <c r="N576" s="533"/>
    </row>
    <row r="577" spans="1:17" ht="22.5" hidden="1" x14ac:dyDescent="0.2">
      <c r="A577" s="535" t="s">
        <v>768</v>
      </c>
      <c r="B577" s="537"/>
      <c r="C577" s="537"/>
      <c r="D577" s="536"/>
      <c r="E577" s="536"/>
      <c r="F577" s="535"/>
      <c r="G577" s="535"/>
      <c r="H577" s="535"/>
      <c r="I577" s="535"/>
      <c r="J577" s="535">
        <v>54</v>
      </c>
      <c r="K577" s="535">
        <v>54</v>
      </c>
      <c r="L577" s="534"/>
      <c r="M577" s="534"/>
      <c r="N577" s="533"/>
    </row>
    <row r="578" spans="1:17" hidden="1" x14ac:dyDescent="0.2">
      <c r="A578" s="535" t="s">
        <v>769</v>
      </c>
      <c r="B578" s="537"/>
      <c r="C578" s="537"/>
      <c r="D578" s="536"/>
      <c r="E578" s="536"/>
      <c r="F578" s="568">
        <v>1168844.22025</v>
      </c>
      <c r="G578" s="568">
        <v>1078437.4469046802</v>
      </c>
      <c r="H578" s="568">
        <v>766916.90074999991</v>
      </c>
      <c r="I578" s="535"/>
      <c r="J578" s="535">
        <v>45</v>
      </c>
      <c r="K578" s="535">
        <v>45</v>
      </c>
      <c r="L578" s="534"/>
      <c r="M578" s="534"/>
      <c r="N578" s="533"/>
      <c r="Q578" s="571"/>
    </row>
    <row r="579" spans="1:17" ht="22.5" hidden="1" x14ac:dyDescent="0.2">
      <c r="A579" s="535" t="s">
        <v>884</v>
      </c>
      <c r="B579" s="537"/>
      <c r="C579" s="537"/>
      <c r="D579" s="536"/>
      <c r="E579" s="536"/>
      <c r="F579" s="568">
        <v>130656.28456283198</v>
      </c>
      <c r="G579" s="568">
        <v>177705.03450000001</v>
      </c>
      <c r="H579" s="568">
        <v>95893.28349999999</v>
      </c>
      <c r="I579" s="570"/>
      <c r="J579" s="535">
        <v>453</v>
      </c>
      <c r="K579" s="535">
        <v>453</v>
      </c>
      <c r="L579" s="534"/>
      <c r="M579" s="534"/>
      <c r="N579" s="533"/>
      <c r="Q579" s="569"/>
    </row>
    <row r="580" spans="1:17" ht="22.5" hidden="1" x14ac:dyDescent="0.2">
      <c r="A580" s="535" t="s">
        <v>770</v>
      </c>
      <c r="B580" s="537"/>
      <c r="C580" s="537"/>
      <c r="D580" s="536"/>
      <c r="E580" s="536"/>
      <c r="F580" s="535"/>
      <c r="G580" s="535"/>
      <c r="H580" s="568"/>
      <c r="I580" s="568"/>
      <c r="J580" s="535">
        <v>5</v>
      </c>
      <c r="K580" s="535">
        <v>5</v>
      </c>
      <c r="L580" s="534"/>
      <c r="M580" s="534"/>
      <c r="N580" s="533"/>
    </row>
    <row r="581" spans="1:17" hidden="1" x14ac:dyDescent="0.2">
      <c r="A581" s="535" t="s">
        <v>771</v>
      </c>
      <c r="B581" s="537"/>
      <c r="C581" s="537"/>
      <c r="D581" s="536"/>
      <c r="E581" s="536"/>
      <c r="F581" s="535"/>
      <c r="G581" s="535"/>
      <c r="H581" s="568"/>
      <c r="I581" s="568"/>
      <c r="J581" s="535">
        <v>3</v>
      </c>
      <c r="K581" s="535">
        <v>3</v>
      </c>
      <c r="L581" s="534"/>
      <c r="M581" s="534"/>
      <c r="N581" s="533"/>
    </row>
    <row r="582" spans="1:17" ht="22.5" hidden="1" x14ac:dyDescent="0.2">
      <c r="A582" s="535" t="s">
        <v>772</v>
      </c>
      <c r="B582" s="537"/>
      <c r="C582" s="537"/>
      <c r="D582" s="536"/>
      <c r="E582" s="536"/>
      <c r="F582" s="535"/>
      <c r="G582" s="535"/>
      <c r="H582" s="535"/>
      <c r="I582" s="535"/>
      <c r="J582" s="535">
        <v>5</v>
      </c>
      <c r="K582" s="535">
        <v>5</v>
      </c>
      <c r="L582" s="534"/>
      <c r="M582" s="534"/>
      <c r="N582" s="533"/>
    </row>
    <row r="583" spans="1:17" hidden="1" x14ac:dyDescent="0.2">
      <c r="A583" s="535" t="s">
        <v>773</v>
      </c>
      <c r="B583" s="537"/>
      <c r="C583" s="537"/>
      <c r="D583" s="536"/>
      <c r="E583" s="536"/>
      <c r="F583" s="535"/>
      <c r="G583" s="535"/>
      <c r="H583" s="535"/>
      <c r="I583" s="535"/>
      <c r="J583" s="535">
        <v>3</v>
      </c>
      <c r="K583" s="535">
        <v>3</v>
      </c>
      <c r="L583" s="534"/>
      <c r="M583" s="534"/>
      <c r="N583" s="533"/>
    </row>
    <row r="584" spans="1:17" hidden="1" x14ac:dyDescent="0.2">
      <c r="A584" s="562" t="s">
        <v>774</v>
      </c>
      <c r="B584" s="540"/>
      <c r="C584" s="540"/>
      <c r="D584" s="539"/>
      <c r="E584" s="539"/>
      <c r="F584" s="561">
        <v>0</v>
      </c>
      <c r="G584" s="561">
        <v>0</v>
      </c>
      <c r="H584" s="561">
        <v>36805.01125000001</v>
      </c>
      <c r="I584" s="561"/>
      <c r="J584" s="561"/>
      <c r="K584" s="561">
        <v>725499.32000000007</v>
      </c>
      <c r="L584" s="534"/>
      <c r="M584" s="534"/>
      <c r="N584" s="533"/>
    </row>
    <row r="585" spans="1:17" hidden="1" x14ac:dyDescent="0.2">
      <c r="A585" s="535" t="s">
        <v>883</v>
      </c>
      <c r="B585" s="537"/>
      <c r="C585" s="537"/>
      <c r="D585" s="536"/>
      <c r="E585" s="536"/>
      <c r="F585" s="535">
        <v>0</v>
      </c>
      <c r="G585" s="535"/>
      <c r="H585" s="567"/>
      <c r="I585" s="567"/>
      <c r="J585" s="567"/>
      <c r="K585" s="535">
        <v>54</v>
      </c>
      <c r="L585" s="534"/>
      <c r="M585" s="534"/>
      <c r="N585" s="533"/>
    </row>
    <row r="586" spans="1:17" hidden="1" x14ac:dyDescent="0.2">
      <c r="A586" s="535" t="s">
        <v>775</v>
      </c>
      <c r="B586" s="537"/>
      <c r="C586" s="537"/>
      <c r="D586" s="536"/>
      <c r="E586" s="536"/>
      <c r="F586" s="535"/>
      <c r="G586" s="535"/>
      <c r="H586" s="535"/>
      <c r="I586" s="535"/>
      <c r="J586" s="535"/>
      <c r="K586" s="535">
        <v>543</v>
      </c>
      <c r="L586" s="534"/>
      <c r="M586" s="534"/>
      <c r="N586" s="533"/>
    </row>
    <row r="587" spans="1:17" ht="22.5" hidden="1" x14ac:dyDescent="0.2">
      <c r="A587" s="535" t="s">
        <v>776</v>
      </c>
      <c r="B587" s="537"/>
      <c r="C587" s="537"/>
      <c r="D587" s="536"/>
      <c r="E587" s="536"/>
      <c r="F587" s="535"/>
      <c r="G587" s="535"/>
      <c r="H587" s="535"/>
      <c r="I587" s="535"/>
      <c r="J587" s="535"/>
      <c r="K587" s="535">
        <v>5</v>
      </c>
      <c r="L587" s="534"/>
      <c r="M587" s="534"/>
      <c r="N587" s="533"/>
    </row>
    <row r="588" spans="1:17" ht="22.5" hidden="1" x14ac:dyDescent="0.2">
      <c r="A588" s="535" t="s">
        <v>777</v>
      </c>
      <c r="B588" s="537"/>
      <c r="C588" s="537"/>
      <c r="D588" s="536"/>
      <c r="E588" s="536"/>
      <c r="F588" s="535"/>
      <c r="G588" s="535"/>
      <c r="H588" s="535"/>
      <c r="I588" s="535"/>
      <c r="J588" s="535"/>
      <c r="K588" s="535">
        <v>4</v>
      </c>
      <c r="L588" s="534"/>
      <c r="M588" s="534"/>
      <c r="N588" s="533"/>
    </row>
    <row r="589" spans="1:17" hidden="1" x14ac:dyDescent="0.2">
      <c r="A589" s="562" t="s">
        <v>778</v>
      </c>
      <c r="B589" s="540"/>
      <c r="C589" s="540"/>
      <c r="D589" s="539"/>
      <c r="E589" s="539"/>
      <c r="F589" s="561">
        <v>0</v>
      </c>
      <c r="G589" s="561">
        <v>0</v>
      </c>
      <c r="H589" s="561"/>
      <c r="I589" s="561"/>
      <c r="J589" s="561"/>
      <c r="K589" s="561">
        <v>724893.32000000007</v>
      </c>
      <c r="L589" s="534"/>
      <c r="M589" s="534"/>
      <c r="N589" s="533"/>
    </row>
    <row r="590" spans="1:17" hidden="1" x14ac:dyDescent="0.2">
      <c r="A590" s="535" t="s">
        <v>779</v>
      </c>
      <c r="B590" s="537"/>
      <c r="C590" s="537"/>
      <c r="D590" s="536"/>
      <c r="E590" s="536"/>
      <c r="F590" s="535"/>
      <c r="G590" s="535"/>
      <c r="H590" s="535"/>
      <c r="I590" s="535"/>
      <c r="J590" s="535"/>
      <c r="K590" s="535"/>
      <c r="L590" s="534"/>
      <c r="M590" s="534"/>
      <c r="N590" s="533"/>
    </row>
    <row r="591" spans="1:17" hidden="1" x14ac:dyDescent="0.2">
      <c r="A591" s="564" t="s">
        <v>882</v>
      </c>
      <c r="B591" s="566"/>
      <c r="C591" s="566"/>
      <c r="D591" s="565"/>
      <c r="E591" s="565"/>
      <c r="F591" s="564"/>
      <c r="G591" s="564"/>
      <c r="H591" s="535"/>
      <c r="I591" s="535"/>
      <c r="J591" s="535"/>
      <c r="K591" s="535"/>
      <c r="L591" s="534"/>
      <c r="M591" s="534"/>
      <c r="N591" s="533"/>
    </row>
    <row r="592" spans="1:17" ht="33.75" hidden="1" x14ac:dyDescent="0.2">
      <c r="A592" s="558" t="s">
        <v>881</v>
      </c>
      <c r="B592" s="537"/>
      <c r="C592" s="537"/>
      <c r="D592" s="536"/>
      <c r="E592" s="536"/>
      <c r="F592" s="558"/>
      <c r="G592" s="558"/>
      <c r="H592" s="535"/>
      <c r="I592" s="535"/>
      <c r="J592" s="535"/>
      <c r="K592" s="535"/>
      <c r="L592" s="534"/>
      <c r="M592" s="534"/>
      <c r="N592" s="533"/>
    </row>
    <row r="593" spans="1:14" ht="22.5" hidden="1" x14ac:dyDescent="0.2">
      <c r="A593" s="535" t="s">
        <v>780</v>
      </c>
      <c r="B593" s="537"/>
      <c r="C593" s="537"/>
      <c r="D593" s="536"/>
      <c r="E593" s="536"/>
      <c r="F593" s="535"/>
      <c r="G593" s="535"/>
      <c r="H593" s="563"/>
      <c r="I593" s="563"/>
      <c r="J593" s="535">
        <v>35</v>
      </c>
      <c r="K593" s="535">
        <v>35</v>
      </c>
      <c r="L593" s="534"/>
      <c r="M593" s="534"/>
      <c r="N593" s="533"/>
    </row>
    <row r="594" spans="1:14" hidden="1" x14ac:dyDescent="0.2">
      <c r="A594" s="560" t="s">
        <v>225</v>
      </c>
      <c r="B594" s="537"/>
      <c r="C594" s="537"/>
      <c r="D594" s="536"/>
      <c r="E594" s="536"/>
      <c r="F594" s="560"/>
      <c r="G594" s="560"/>
      <c r="H594" s="535"/>
      <c r="I594" s="535"/>
      <c r="J594" s="535"/>
      <c r="K594" s="535"/>
      <c r="L594" s="534"/>
      <c r="M594" s="534"/>
      <c r="N594" s="533"/>
    </row>
    <row r="595" spans="1:14" hidden="1" x14ac:dyDescent="0.2">
      <c r="A595" s="535" t="s">
        <v>781</v>
      </c>
      <c r="B595" s="537"/>
      <c r="C595" s="537"/>
      <c r="D595" s="536"/>
      <c r="E595" s="536"/>
      <c r="F595" s="535"/>
      <c r="G595" s="535"/>
      <c r="H595" s="535"/>
      <c r="I595" s="535"/>
      <c r="J595" s="535">
        <v>3</v>
      </c>
      <c r="K595" s="535">
        <v>3</v>
      </c>
      <c r="L595" s="534"/>
      <c r="M595" s="534"/>
      <c r="N595" s="533"/>
    </row>
    <row r="596" spans="1:14" hidden="1" x14ac:dyDescent="0.2">
      <c r="A596" s="535" t="s">
        <v>782</v>
      </c>
      <c r="B596" s="537"/>
      <c r="C596" s="537"/>
      <c r="D596" s="536"/>
      <c r="E596" s="536"/>
      <c r="F596" s="535"/>
      <c r="G596" s="535"/>
      <c r="H596" s="535"/>
      <c r="I596" s="535"/>
      <c r="J596" s="535">
        <v>4</v>
      </c>
      <c r="K596" s="535">
        <v>4</v>
      </c>
      <c r="L596" s="534"/>
      <c r="M596" s="534"/>
      <c r="N596" s="533"/>
    </row>
    <row r="597" spans="1:14" hidden="1" x14ac:dyDescent="0.2">
      <c r="A597" s="562" t="s">
        <v>229</v>
      </c>
      <c r="B597" s="540"/>
      <c r="C597" s="540"/>
      <c r="D597" s="539"/>
      <c r="E597" s="539"/>
      <c r="F597" s="561">
        <v>0</v>
      </c>
      <c r="G597" s="561">
        <v>0</v>
      </c>
      <c r="H597" s="561"/>
      <c r="I597" s="561"/>
      <c r="J597" s="561"/>
      <c r="K597" s="561">
        <v>724857.32000000007</v>
      </c>
      <c r="L597" s="534"/>
      <c r="M597" s="534"/>
      <c r="N597" s="533"/>
    </row>
    <row r="598" spans="1:14" hidden="1" x14ac:dyDescent="0.2">
      <c r="A598" s="562" t="s">
        <v>230</v>
      </c>
      <c r="B598" s="540"/>
      <c r="C598" s="540"/>
      <c r="D598" s="539"/>
      <c r="E598" s="539"/>
      <c r="F598" s="561">
        <v>0</v>
      </c>
      <c r="G598" s="561">
        <v>0</v>
      </c>
      <c r="H598" s="561"/>
      <c r="I598" s="561"/>
      <c r="J598" s="561"/>
      <c r="K598" s="561">
        <v>0</v>
      </c>
      <c r="L598" s="534"/>
      <c r="M598" s="534"/>
      <c r="N598" s="533"/>
    </row>
    <row r="599" spans="1:14" hidden="1" x14ac:dyDescent="0.2">
      <c r="A599" s="551" t="s">
        <v>113</v>
      </c>
      <c r="B599" s="547"/>
      <c r="C599" s="547"/>
      <c r="D599" s="546"/>
      <c r="E599" s="546"/>
      <c r="F599" s="551"/>
      <c r="G599" s="551"/>
      <c r="H599" s="538"/>
      <c r="I599" s="538"/>
      <c r="J599" s="538"/>
      <c r="K599" s="538"/>
      <c r="L599" s="534"/>
      <c r="M599" s="534"/>
      <c r="N599" s="533"/>
    </row>
    <row r="600" spans="1:14" ht="33.75" hidden="1" x14ac:dyDescent="0.2">
      <c r="A600" s="535" t="s">
        <v>783</v>
      </c>
      <c r="B600" s="537"/>
      <c r="C600" s="537"/>
      <c r="D600" s="536"/>
      <c r="E600" s="536"/>
      <c r="F600" s="535"/>
      <c r="G600" s="535"/>
      <c r="H600" s="535"/>
      <c r="I600" s="535"/>
      <c r="J600" s="535"/>
      <c r="K600" s="535"/>
      <c r="L600" s="534"/>
      <c r="M600" s="534"/>
      <c r="N600" s="533"/>
    </row>
    <row r="601" spans="1:14" ht="33.75" hidden="1" x14ac:dyDescent="0.2">
      <c r="A601" s="535" t="s">
        <v>784</v>
      </c>
      <c r="B601" s="537"/>
      <c r="C601" s="537"/>
      <c r="D601" s="536"/>
      <c r="E601" s="536"/>
      <c r="F601" s="535"/>
      <c r="G601" s="535"/>
      <c r="H601" s="535"/>
      <c r="I601" s="535"/>
      <c r="J601" s="535"/>
      <c r="K601" s="535"/>
      <c r="L601" s="534"/>
      <c r="M601" s="534"/>
      <c r="N601" s="533"/>
    </row>
    <row r="602" spans="1:14" ht="22.5" hidden="1" x14ac:dyDescent="0.2">
      <c r="A602" s="560" t="s">
        <v>880</v>
      </c>
      <c r="B602" s="537"/>
      <c r="C602" s="537"/>
      <c r="D602" s="536"/>
      <c r="E602" s="536"/>
      <c r="F602" s="560"/>
      <c r="G602" s="560"/>
      <c r="H602" s="535"/>
      <c r="I602" s="535"/>
      <c r="J602" s="535"/>
      <c r="K602" s="535"/>
      <c r="L602" s="534"/>
      <c r="M602" s="534"/>
      <c r="N602" s="533"/>
    </row>
    <row r="603" spans="1:14" ht="33.75" hidden="1" x14ac:dyDescent="0.2">
      <c r="A603" s="535" t="s">
        <v>879</v>
      </c>
      <c r="B603" s="537"/>
      <c r="C603" s="537"/>
      <c r="D603" s="536"/>
      <c r="E603" s="536"/>
      <c r="F603" s="535"/>
      <c r="G603" s="535"/>
      <c r="H603" s="535"/>
      <c r="I603" s="535"/>
      <c r="J603" s="535"/>
      <c r="K603" s="535"/>
      <c r="L603" s="534"/>
      <c r="M603" s="534"/>
      <c r="N603" s="533"/>
    </row>
    <row r="604" spans="1:14" ht="22.5" hidden="1" x14ac:dyDescent="0.2">
      <c r="A604" s="555" t="s">
        <v>785</v>
      </c>
      <c r="B604" s="557"/>
      <c r="C604" s="557"/>
      <c r="D604" s="556"/>
      <c r="E604" s="556"/>
      <c r="F604" s="555"/>
      <c r="G604" s="555"/>
      <c r="H604" s="535"/>
      <c r="I604" s="535"/>
      <c r="J604" s="535"/>
      <c r="K604" s="535"/>
      <c r="L604" s="534"/>
      <c r="M604" s="534"/>
      <c r="N604" s="533"/>
    </row>
    <row r="605" spans="1:14" hidden="1" x14ac:dyDescent="0.2">
      <c r="A605" s="555" t="s">
        <v>786</v>
      </c>
      <c r="B605" s="557"/>
      <c r="C605" s="557"/>
      <c r="D605" s="556"/>
      <c r="E605" s="556"/>
      <c r="F605" s="555"/>
      <c r="G605" s="555"/>
      <c r="H605" s="535"/>
      <c r="I605" s="535"/>
      <c r="J605" s="535"/>
      <c r="K605" s="535"/>
      <c r="L605" s="534"/>
      <c r="M605" s="534"/>
      <c r="N605" s="533"/>
    </row>
    <row r="606" spans="1:14" ht="22.5" hidden="1" x14ac:dyDescent="0.2">
      <c r="A606" s="535" t="s">
        <v>787</v>
      </c>
      <c r="B606" s="537"/>
      <c r="C606" s="537"/>
      <c r="D606" s="536"/>
      <c r="E606" s="536"/>
      <c r="F606" s="535"/>
      <c r="G606" s="535"/>
      <c r="H606" s="535"/>
      <c r="I606" s="535"/>
      <c r="J606" s="535"/>
      <c r="K606" s="535"/>
      <c r="L606" s="534"/>
      <c r="M606" s="534"/>
      <c r="N606" s="533"/>
    </row>
    <row r="607" spans="1:14" ht="22.5" hidden="1" x14ac:dyDescent="0.2">
      <c r="A607" s="555" t="s">
        <v>788</v>
      </c>
      <c r="B607" s="557"/>
      <c r="C607" s="557"/>
      <c r="D607" s="556"/>
      <c r="E607" s="556"/>
      <c r="F607" s="555"/>
      <c r="G607" s="555"/>
      <c r="H607" s="535"/>
      <c r="I607" s="535"/>
      <c r="J607" s="535"/>
      <c r="K607" s="535"/>
      <c r="L607" s="534"/>
      <c r="M607" s="534"/>
      <c r="N607" s="533"/>
    </row>
    <row r="608" spans="1:14" ht="22.5" hidden="1" x14ac:dyDescent="0.2">
      <c r="A608" s="535" t="s">
        <v>789</v>
      </c>
      <c r="B608" s="537"/>
      <c r="C608" s="537"/>
      <c r="D608" s="536"/>
      <c r="E608" s="536"/>
      <c r="F608" s="535"/>
      <c r="G608" s="535"/>
      <c r="H608" s="535"/>
      <c r="I608" s="535"/>
      <c r="J608" s="535"/>
      <c r="K608" s="535"/>
      <c r="L608" s="534"/>
      <c r="M608" s="534"/>
      <c r="N608" s="533"/>
    </row>
    <row r="609" spans="1:14" ht="22.5" hidden="1" x14ac:dyDescent="0.2">
      <c r="A609" s="558" t="s">
        <v>878</v>
      </c>
      <c r="B609" s="537"/>
      <c r="C609" s="537"/>
      <c r="D609" s="536"/>
      <c r="E609" s="536"/>
      <c r="F609" s="559"/>
      <c r="G609" s="559"/>
      <c r="H609" s="535"/>
      <c r="I609" s="535"/>
      <c r="J609" s="535"/>
      <c r="K609" s="535"/>
      <c r="L609" s="534"/>
      <c r="M609" s="534"/>
      <c r="N609" s="533"/>
    </row>
    <row r="610" spans="1:14" ht="22.5" hidden="1" x14ac:dyDescent="0.2">
      <c r="A610" s="558" t="s">
        <v>877</v>
      </c>
      <c r="B610" s="537"/>
      <c r="C610" s="537"/>
      <c r="D610" s="536"/>
      <c r="E610" s="536"/>
      <c r="F610" s="559"/>
      <c r="G610" s="559"/>
      <c r="H610" s="535"/>
      <c r="I610" s="535"/>
      <c r="J610" s="535"/>
      <c r="K610" s="535"/>
      <c r="L610" s="534"/>
      <c r="M610" s="534"/>
      <c r="N610" s="533"/>
    </row>
    <row r="611" spans="1:14" ht="22.5" hidden="1" x14ac:dyDescent="0.2">
      <c r="A611" s="558" t="s">
        <v>876</v>
      </c>
      <c r="B611" s="537"/>
      <c r="C611" s="537"/>
      <c r="D611" s="536"/>
      <c r="E611" s="536"/>
      <c r="F611" s="558"/>
      <c r="G611" s="558"/>
      <c r="H611" s="535"/>
      <c r="I611" s="535"/>
      <c r="J611" s="535"/>
      <c r="K611" s="535"/>
      <c r="L611" s="534"/>
      <c r="M611" s="534"/>
      <c r="N611" s="533"/>
    </row>
    <row r="612" spans="1:14" hidden="1" x14ac:dyDescent="0.2">
      <c r="A612" s="552" t="s">
        <v>790</v>
      </c>
      <c r="B612" s="553"/>
      <c r="C612" s="553"/>
      <c r="D612" s="546"/>
      <c r="E612" s="546"/>
      <c r="F612" s="552"/>
      <c r="G612" s="552"/>
      <c r="H612" s="538"/>
      <c r="I612" s="538"/>
      <c r="J612" s="538"/>
      <c r="K612" s="538"/>
      <c r="L612" s="534"/>
      <c r="M612" s="534"/>
      <c r="N612" s="533"/>
    </row>
    <row r="613" spans="1:14" hidden="1" x14ac:dyDescent="0.2">
      <c r="A613" s="555" t="s">
        <v>791</v>
      </c>
      <c r="B613" s="557"/>
      <c r="C613" s="557"/>
      <c r="D613" s="556"/>
      <c r="E613" s="556"/>
      <c r="F613" s="555"/>
      <c r="G613" s="555"/>
      <c r="H613" s="535"/>
      <c r="I613" s="535"/>
      <c r="J613" s="535"/>
      <c r="K613" s="535"/>
      <c r="L613" s="534"/>
      <c r="M613" s="534"/>
      <c r="N613" s="533"/>
    </row>
    <row r="614" spans="1:14" hidden="1" x14ac:dyDescent="0.2">
      <c r="A614" s="555" t="s">
        <v>792</v>
      </c>
      <c r="B614" s="557"/>
      <c r="C614" s="557"/>
      <c r="D614" s="556"/>
      <c r="E614" s="556"/>
      <c r="F614" s="555"/>
      <c r="G614" s="555"/>
      <c r="H614" s="535"/>
      <c r="I614" s="535"/>
      <c r="J614" s="535"/>
      <c r="K614" s="535"/>
      <c r="L614" s="534"/>
      <c r="M614" s="534"/>
      <c r="N614" s="533"/>
    </row>
    <row r="615" spans="1:14" hidden="1" x14ac:dyDescent="0.2">
      <c r="A615" s="555" t="s">
        <v>793</v>
      </c>
      <c r="B615" s="557"/>
      <c r="C615" s="557"/>
      <c r="D615" s="556"/>
      <c r="E615" s="556"/>
      <c r="F615" s="555"/>
      <c r="G615" s="555"/>
      <c r="H615" s="535"/>
      <c r="I615" s="535"/>
      <c r="J615" s="535"/>
      <c r="K615" s="535"/>
      <c r="L615" s="534"/>
      <c r="M615" s="534"/>
      <c r="N615" s="533"/>
    </row>
    <row r="616" spans="1:14" hidden="1" x14ac:dyDescent="0.2">
      <c r="A616" s="555" t="s">
        <v>794</v>
      </c>
      <c r="B616" s="557"/>
      <c r="C616" s="557"/>
      <c r="D616" s="556"/>
      <c r="E616" s="556"/>
      <c r="F616" s="555"/>
      <c r="G616" s="555"/>
      <c r="H616" s="535"/>
      <c r="I616" s="535"/>
      <c r="J616" s="535"/>
      <c r="K616" s="535"/>
      <c r="L616" s="534"/>
      <c r="M616" s="534"/>
      <c r="N616" s="533"/>
    </row>
    <row r="617" spans="1:14" hidden="1" x14ac:dyDescent="0.2">
      <c r="A617" s="555" t="s">
        <v>795</v>
      </c>
      <c r="B617" s="557"/>
      <c r="C617" s="557"/>
      <c r="D617" s="556"/>
      <c r="E617" s="556"/>
      <c r="F617" s="555"/>
      <c r="G617" s="555"/>
      <c r="H617" s="535"/>
      <c r="I617" s="535"/>
      <c r="J617" s="535"/>
      <c r="K617" s="535"/>
      <c r="L617" s="534"/>
      <c r="M617" s="534"/>
      <c r="N617" s="533"/>
    </row>
    <row r="618" spans="1:14" hidden="1" x14ac:dyDescent="0.2">
      <c r="A618" s="555" t="s">
        <v>796</v>
      </c>
      <c r="B618" s="557"/>
      <c r="C618" s="557"/>
      <c r="D618" s="556"/>
      <c r="E618" s="556"/>
      <c r="F618" s="555"/>
      <c r="G618" s="555"/>
      <c r="H618" s="535"/>
      <c r="I618" s="535"/>
      <c r="J618" s="535"/>
      <c r="K618" s="535"/>
      <c r="L618" s="534"/>
      <c r="M618" s="534"/>
      <c r="N618" s="533"/>
    </row>
    <row r="619" spans="1:14" hidden="1" x14ac:dyDescent="0.2">
      <c r="A619" s="555" t="s">
        <v>797</v>
      </c>
      <c r="B619" s="557"/>
      <c r="C619" s="557"/>
      <c r="D619" s="556"/>
      <c r="E619" s="556"/>
      <c r="F619" s="555"/>
      <c r="G619" s="555"/>
      <c r="H619" s="535"/>
      <c r="I619" s="535"/>
      <c r="J619" s="535"/>
      <c r="K619" s="535"/>
      <c r="L619" s="534"/>
      <c r="M619" s="534"/>
      <c r="N619" s="533"/>
    </row>
    <row r="620" spans="1:14" hidden="1" x14ac:dyDescent="0.2">
      <c r="A620" s="535" t="s">
        <v>798</v>
      </c>
      <c r="B620" s="537"/>
      <c r="C620" s="537"/>
      <c r="D620" s="536"/>
      <c r="E620" s="536"/>
      <c r="F620" s="535"/>
      <c r="G620" s="535"/>
      <c r="H620" s="535"/>
      <c r="I620" s="535"/>
      <c r="J620" s="535"/>
      <c r="K620" s="535"/>
      <c r="L620" s="534"/>
      <c r="M620" s="534"/>
      <c r="N620" s="533"/>
    </row>
    <row r="621" spans="1:14" ht="22.5" hidden="1" x14ac:dyDescent="0.2">
      <c r="A621" s="535" t="s">
        <v>799</v>
      </c>
      <c r="B621" s="537"/>
      <c r="C621" s="537"/>
      <c r="D621" s="536"/>
      <c r="E621" s="536"/>
      <c r="F621" s="535"/>
      <c r="G621" s="535"/>
      <c r="H621" s="535"/>
      <c r="I621" s="535"/>
      <c r="J621" s="535"/>
      <c r="K621" s="535"/>
      <c r="L621" s="534"/>
      <c r="M621" s="534"/>
      <c r="N621" s="533"/>
    </row>
    <row r="622" spans="1:14" ht="22.5" hidden="1" x14ac:dyDescent="0.2">
      <c r="A622" s="552" t="s">
        <v>800</v>
      </c>
      <c r="B622" s="553"/>
      <c r="C622" s="553"/>
      <c r="D622" s="546"/>
      <c r="E622" s="546"/>
      <c r="F622" s="552"/>
      <c r="G622" s="552"/>
      <c r="H622" s="538"/>
      <c r="I622" s="538"/>
      <c r="J622" s="538"/>
      <c r="K622" s="538"/>
      <c r="L622" s="534"/>
      <c r="M622" s="534"/>
      <c r="N622" s="533"/>
    </row>
    <row r="623" spans="1:14" hidden="1" x14ac:dyDescent="0.2">
      <c r="A623" s="555" t="s">
        <v>791</v>
      </c>
      <c r="B623" s="557"/>
      <c r="C623" s="557"/>
      <c r="D623" s="556"/>
      <c r="E623" s="556"/>
      <c r="F623" s="555"/>
      <c r="G623" s="555"/>
      <c r="H623" s="535"/>
      <c r="I623" s="535"/>
      <c r="J623" s="535"/>
      <c r="K623" s="535"/>
      <c r="L623" s="534"/>
      <c r="M623" s="534"/>
      <c r="N623" s="533"/>
    </row>
    <row r="624" spans="1:14" hidden="1" x14ac:dyDescent="0.2">
      <c r="A624" s="555" t="s">
        <v>792</v>
      </c>
      <c r="B624" s="557"/>
      <c r="C624" s="557"/>
      <c r="D624" s="556"/>
      <c r="E624" s="556"/>
      <c r="F624" s="555"/>
      <c r="G624" s="555"/>
      <c r="H624" s="535"/>
      <c r="I624" s="535"/>
      <c r="J624" s="535"/>
      <c r="K624" s="535"/>
      <c r="L624" s="534"/>
      <c r="M624" s="534"/>
      <c r="N624" s="533"/>
    </row>
    <row r="625" spans="1:14" hidden="1" x14ac:dyDescent="0.2">
      <c r="A625" s="555" t="s">
        <v>793</v>
      </c>
      <c r="B625" s="557"/>
      <c r="C625" s="557"/>
      <c r="D625" s="556"/>
      <c r="E625" s="556"/>
      <c r="F625" s="555"/>
      <c r="G625" s="555"/>
      <c r="H625" s="535"/>
      <c r="I625" s="535"/>
      <c r="J625" s="535"/>
      <c r="K625" s="535"/>
      <c r="L625" s="534"/>
      <c r="M625" s="534"/>
      <c r="N625" s="533"/>
    </row>
    <row r="626" spans="1:14" hidden="1" x14ac:dyDescent="0.2">
      <c r="A626" s="555" t="s">
        <v>794</v>
      </c>
      <c r="B626" s="557"/>
      <c r="C626" s="557"/>
      <c r="D626" s="556"/>
      <c r="E626" s="556"/>
      <c r="F626" s="555"/>
      <c r="G626" s="555"/>
      <c r="H626" s="535"/>
      <c r="I626" s="535"/>
      <c r="J626" s="535"/>
      <c r="K626" s="535"/>
      <c r="L626" s="534"/>
      <c r="M626" s="534"/>
      <c r="N626" s="533"/>
    </row>
    <row r="627" spans="1:14" hidden="1" x14ac:dyDescent="0.2">
      <c r="A627" s="555" t="s">
        <v>795</v>
      </c>
      <c r="B627" s="557"/>
      <c r="C627" s="557"/>
      <c r="D627" s="556"/>
      <c r="E627" s="556"/>
      <c r="F627" s="555"/>
      <c r="G627" s="555"/>
      <c r="H627" s="535"/>
      <c r="I627" s="535"/>
      <c r="J627" s="535"/>
      <c r="K627" s="535"/>
      <c r="L627" s="534"/>
      <c r="M627" s="534"/>
      <c r="N627" s="533"/>
    </row>
    <row r="628" spans="1:14" hidden="1" x14ac:dyDescent="0.2">
      <c r="A628" s="555" t="s">
        <v>796</v>
      </c>
      <c r="B628" s="557"/>
      <c r="C628" s="557"/>
      <c r="D628" s="556"/>
      <c r="E628" s="556"/>
      <c r="F628" s="555"/>
      <c r="G628" s="555"/>
      <c r="H628" s="535"/>
      <c r="I628" s="535"/>
      <c r="J628" s="535"/>
      <c r="K628" s="535"/>
      <c r="L628" s="534"/>
      <c r="M628" s="534"/>
      <c r="N628" s="533"/>
    </row>
    <row r="629" spans="1:14" hidden="1" x14ac:dyDescent="0.2">
      <c r="A629" s="555" t="s">
        <v>797</v>
      </c>
      <c r="B629" s="557"/>
      <c r="C629" s="557"/>
      <c r="D629" s="556"/>
      <c r="E629" s="556"/>
      <c r="F629" s="555"/>
      <c r="G629" s="555"/>
      <c r="H629" s="535"/>
      <c r="I629" s="535"/>
      <c r="J629" s="535"/>
      <c r="K629" s="535"/>
      <c r="L629" s="534"/>
      <c r="M629" s="534"/>
      <c r="N629" s="533"/>
    </row>
    <row r="630" spans="1:14" hidden="1" x14ac:dyDescent="0.2">
      <c r="A630" s="535" t="s">
        <v>798</v>
      </c>
      <c r="B630" s="537"/>
      <c r="C630" s="537"/>
      <c r="D630" s="536"/>
      <c r="E630" s="536"/>
      <c r="F630" s="535"/>
      <c r="G630" s="535"/>
      <c r="H630" s="535"/>
      <c r="I630" s="535"/>
      <c r="J630" s="535"/>
      <c r="K630" s="535"/>
      <c r="L630" s="534"/>
      <c r="M630" s="534"/>
      <c r="N630" s="533"/>
    </row>
    <row r="631" spans="1:14" ht="22.5" hidden="1" x14ac:dyDescent="0.2">
      <c r="A631" s="535" t="s">
        <v>799</v>
      </c>
      <c r="B631" s="537"/>
      <c r="C631" s="537"/>
      <c r="D631" s="536"/>
      <c r="E631" s="536"/>
      <c r="F631" s="535"/>
      <c r="G631" s="535"/>
      <c r="H631" s="535"/>
      <c r="I631" s="535"/>
      <c r="J631" s="535"/>
      <c r="K631" s="535"/>
      <c r="L631" s="534"/>
      <c r="M631" s="534"/>
      <c r="N631" s="533"/>
    </row>
    <row r="632" spans="1:14" ht="33.75" hidden="1" x14ac:dyDescent="0.2">
      <c r="A632" s="554" t="s">
        <v>801</v>
      </c>
      <c r="B632" s="553"/>
      <c r="C632" s="553"/>
      <c r="D632" s="546"/>
      <c r="E632" s="546"/>
      <c r="F632" s="552"/>
      <c r="G632" s="552"/>
      <c r="H632" s="538"/>
      <c r="I632" s="538"/>
      <c r="J632" s="538"/>
      <c r="K632" s="538"/>
      <c r="L632" s="534"/>
      <c r="M632" s="534"/>
      <c r="N632" s="533"/>
    </row>
    <row r="633" spans="1:14" ht="22.5" hidden="1" x14ac:dyDescent="0.2">
      <c r="A633" s="551" t="s">
        <v>802</v>
      </c>
      <c r="B633" s="547"/>
      <c r="C633" s="547"/>
      <c r="D633" s="546"/>
      <c r="E633" s="546"/>
      <c r="F633" s="551"/>
      <c r="G633" s="551"/>
      <c r="H633" s="538"/>
      <c r="I633" s="538"/>
      <c r="J633" s="538"/>
      <c r="K633" s="538"/>
      <c r="L633" s="534"/>
      <c r="M633" s="534"/>
      <c r="N633" s="533"/>
    </row>
    <row r="634" spans="1:14" hidden="1" x14ac:dyDescent="0.2">
      <c r="A634" s="535" t="s">
        <v>803</v>
      </c>
      <c r="B634" s="537"/>
      <c r="C634" s="537"/>
      <c r="D634" s="536"/>
      <c r="E634" s="536"/>
      <c r="F634" s="535"/>
      <c r="G634" s="535"/>
      <c r="H634" s="535"/>
      <c r="I634" s="535"/>
      <c r="J634" s="535"/>
      <c r="K634" s="535"/>
      <c r="L634" s="534"/>
      <c r="M634" s="534"/>
      <c r="N634" s="533"/>
    </row>
    <row r="635" spans="1:14" hidden="1" x14ac:dyDescent="0.2">
      <c r="A635" s="535" t="s">
        <v>804</v>
      </c>
      <c r="B635" s="537"/>
      <c r="C635" s="537"/>
      <c r="D635" s="536"/>
      <c r="E635" s="536"/>
      <c r="F635" s="535"/>
      <c r="G635" s="535"/>
      <c r="H635" s="535"/>
      <c r="I635" s="535"/>
      <c r="J635" s="535"/>
      <c r="K635" s="535"/>
      <c r="L635" s="534"/>
      <c r="M635" s="534"/>
      <c r="N635" s="533"/>
    </row>
    <row r="636" spans="1:14" ht="22.5" hidden="1" x14ac:dyDescent="0.2">
      <c r="A636" s="535" t="s">
        <v>805</v>
      </c>
      <c r="B636" s="537"/>
      <c r="C636" s="537"/>
      <c r="D636" s="536"/>
      <c r="E636" s="536"/>
      <c r="F636" s="535"/>
      <c r="G636" s="535"/>
      <c r="H636" s="535"/>
      <c r="I636" s="535"/>
      <c r="J636" s="535"/>
      <c r="K636" s="535"/>
      <c r="L636" s="534"/>
      <c r="M636" s="534"/>
      <c r="N636" s="533"/>
    </row>
    <row r="637" spans="1:14" ht="22.5" hidden="1" x14ac:dyDescent="0.2">
      <c r="A637" s="551" t="s">
        <v>806</v>
      </c>
      <c r="B637" s="547"/>
      <c r="C637" s="547"/>
      <c r="D637" s="546"/>
      <c r="E637" s="546"/>
      <c r="F637" s="551"/>
      <c r="G637" s="551"/>
      <c r="H637" s="538"/>
      <c r="I637" s="538"/>
      <c r="J637" s="538"/>
      <c r="K637" s="538"/>
      <c r="L637" s="534"/>
      <c r="M637" s="534"/>
      <c r="N637" s="533"/>
    </row>
    <row r="638" spans="1:14" hidden="1" x14ac:dyDescent="0.2">
      <c r="A638" s="535" t="s">
        <v>803</v>
      </c>
      <c r="B638" s="537"/>
      <c r="C638" s="537"/>
      <c r="D638" s="536"/>
      <c r="E638" s="536"/>
      <c r="F638" s="535"/>
      <c r="G638" s="535"/>
      <c r="H638" s="535"/>
      <c r="I638" s="535"/>
      <c r="J638" s="535"/>
      <c r="K638" s="535"/>
      <c r="L638" s="534"/>
      <c r="M638" s="534"/>
      <c r="N638" s="533"/>
    </row>
    <row r="639" spans="1:14" hidden="1" x14ac:dyDescent="0.2">
      <c r="A639" s="535" t="s">
        <v>807</v>
      </c>
      <c r="B639" s="537"/>
      <c r="C639" s="537"/>
      <c r="D639" s="536"/>
      <c r="E639" s="536"/>
      <c r="F639" s="535"/>
      <c r="G639" s="535"/>
      <c r="H639" s="535"/>
      <c r="I639" s="535"/>
      <c r="J639" s="535"/>
      <c r="K639" s="535"/>
      <c r="L639" s="534"/>
      <c r="M639" s="534"/>
      <c r="N639" s="533"/>
    </row>
    <row r="640" spans="1:14" ht="22.5" hidden="1" x14ac:dyDescent="0.2">
      <c r="A640" s="535" t="s">
        <v>808</v>
      </c>
      <c r="B640" s="537"/>
      <c r="C640" s="537"/>
      <c r="D640" s="536"/>
      <c r="E640" s="536"/>
      <c r="F640" s="535"/>
      <c r="G640" s="535"/>
      <c r="H640" s="535"/>
      <c r="I640" s="535"/>
      <c r="J640" s="535"/>
      <c r="K640" s="535"/>
      <c r="L640" s="534"/>
      <c r="M640" s="534"/>
      <c r="N640" s="533"/>
    </row>
    <row r="641" spans="1:14" hidden="1" x14ac:dyDescent="0.2">
      <c r="A641" s="551" t="s">
        <v>809</v>
      </c>
      <c r="B641" s="547"/>
      <c r="C641" s="547"/>
      <c r="D641" s="546"/>
      <c r="E641" s="546"/>
      <c r="F641" s="551"/>
      <c r="G641" s="551"/>
      <c r="H641" s="538"/>
      <c r="I641" s="538"/>
      <c r="J641" s="538"/>
      <c r="K641" s="538"/>
      <c r="L641" s="534"/>
      <c r="M641" s="534"/>
      <c r="N641" s="533"/>
    </row>
    <row r="642" spans="1:14" ht="22.5" hidden="1" x14ac:dyDescent="0.2">
      <c r="A642" s="535" t="s">
        <v>810</v>
      </c>
      <c r="B642" s="537"/>
      <c r="C642" s="537"/>
      <c r="D642" s="536"/>
      <c r="E642" s="536"/>
      <c r="F642" s="535"/>
      <c r="G642" s="535"/>
      <c r="H642" s="535"/>
      <c r="I642" s="535"/>
      <c r="J642" s="535"/>
      <c r="K642" s="535"/>
      <c r="L642" s="534"/>
      <c r="M642" s="534"/>
      <c r="N642" s="533"/>
    </row>
    <row r="643" spans="1:14" ht="33.75" hidden="1" x14ac:dyDescent="0.2">
      <c r="A643" s="535" t="s">
        <v>875</v>
      </c>
      <c r="B643" s="537"/>
      <c r="C643" s="537"/>
      <c r="D643" s="536"/>
      <c r="E643" s="536"/>
      <c r="F643" s="535"/>
      <c r="G643" s="535"/>
      <c r="H643" s="535"/>
      <c r="I643" s="535"/>
      <c r="J643" s="535"/>
      <c r="K643" s="535"/>
      <c r="L643" s="534"/>
      <c r="M643" s="534"/>
      <c r="N643" s="533"/>
    </row>
    <row r="644" spans="1:14" ht="33.75" hidden="1" x14ac:dyDescent="0.2">
      <c r="A644" s="535" t="s">
        <v>811</v>
      </c>
      <c r="B644" s="537"/>
      <c r="C644" s="537"/>
      <c r="D644" s="536"/>
      <c r="E644" s="536"/>
      <c r="F644" s="535"/>
      <c r="G644" s="535"/>
      <c r="H644" s="535"/>
      <c r="I644" s="535"/>
      <c r="J644" s="535"/>
      <c r="K644" s="535"/>
      <c r="L644" s="534"/>
      <c r="M644" s="534"/>
      <c r="N644" s="533"/>
    </row>
    <row r="645" spans="1:14" hidden="1" x14ac:dyDescent="0.2">
      <c r="A645" s="548" t="s">
        <v>812</v>
      </c>
      <c r="B645" s="550"/>
      <c r="C645" s="550"/>
      <c r="D645" s="549"/>
      <c r="E645" s="549"/>
      <c r="F645" s="548"/>
      <c r="G645" s="548"/>
      <c r="H645" s="535"/>
      <c r="I645" s="535"/>
      <c r="J645" s="535"/>
      <c r="K645" s="535"/>
      <c r="L645" s="534"/>
      <c r="M645" s="534"/>
      <c r="N645" s="533"/>
    </row>
    <row r="646" spans="1:14" s="541" customFormat="1" hidden="1" x14ac:dyDescent="0.2">
      <c r="A646" s="545" t="s">
        <v>813</v>
      </c>
      <c r="B646" s="547"/>
      <c r="C646" s="547"/>
      <c r="D646" s="546"/>
      <c r="E646" s="546"/>
      <c r="F646" s="545"/>
      <c r="G646" s="545"/>
      <c r="H646" s="544"/>
      <c r="I646" s="544"/>
      <c r="J646" s="544"/>
      <c r="K646" s="544"/>
      <c r="L646" s="543"/>
      <c r="M646" s="543"/>
      <c r="N646" s="542"/>
    </row>
    <row r="647" spans="1:14" ht="22.5" hidden="1" x14ac:dyDescent="0.2">
      <c r="A647" s="535" t="s">
        <v>874</v>
      </c>
      <c r="B647" s="537"/>
      <c r="C647" s="537"/>
      <c r="D647" s="536"/>
      <c r="E647" s="536"/>
      <c r="F647" s="535"/>
      <c r="G647" s="535"/>
      <c r="H647" s="535"/>
      <c r="I647" s="535"/>
      <c r="J647" s="535"/>
      <c r="K647" s="535"/>
      <c r="L647" s="534"/>
      <c r="M647" s="534"/>
      <c r="N647" s="533"/>
    </row>
    <row r="648" spans="1:14" ht="22.5" hidden="1" x14ac:dyDescent="0.2">
      <c r="A648" s="538" t="s">
        <v>873</v>
      </c>
      <c r="B648" s="540"/>
      <c r="C648" s="540"/>
      <c r="D648" s="539"/>
      <c r="E648" s="539"/>
      <c r="F648" s="538"/>
      <c r="G648" s="538"/>
      <c r="H648" s="535"/>
      <c r="I648" s="535"/>
      <c r="J648" s="535"/>
      <c r="K648" s="535"/>
      <c r="L648" s="534"/>
      <c r="M648" s="534"/>
      <c r="N648" s="533"/>
    </row>
    <row r="649" spans="1:14" ht="45" hidden="1" x14ac:dyDescent="0.2">
      <c r="A649" s="535" t="s">
        <v>872</v>
      </c>
      <c r="B649" s="537"/>
      <c r="C649" s="537"/>
      <c r="D649" s="536"/>
      <c r="E649" s="536"/>
      <c r="F649" s="535"/>
      <c r="G649" s="535"/>
      <c r="H649" s="535"/>
      <c r="I649" s="535"/>
      <c r="J649" s="535"/>
      <c r="K649" s="535"/>
      <c r="L649" s="534"/>
      <c r="M649" s="534"/>
      <c r="N649" s="533"/>
    </row>
    <row r="650" spans="1:14" ht="22.5" hidden="1" x14ac:dyDescent="0.2">
      <c r="A650" s="535" t="s">
        <v>871</v>
      </c>
      <c r="B650" s="537"/>
      <c r="C650" s="537"/>
      <c r="D650" s="536"/>
      <c r="E650" s="536"/>
      <c r="F650" s="535"/>
      <c r="G650" s="535"/>
      <c r="H650" s="535"/>
      <c r="I650" s="535"/>
      <c r="J650" s="535"/>
      <c r="K650" s="535"/>
      <c r="L650" s="534"/>
      <c r="M650" s="534"/>
      <c r="N650" s="533"/>
    </row>
    <row r="651" spans="1:14" ht="33.75" hidden="1" x14ac:dyDescent="0.2">
      <c r="A651" s="535" t="s">
        <v>814</v>
      </c>
      <c r="B651" s="537"/>
      <c r="C651" s="537"/>
      <c r="D651" s="536"/>
      <c r="E651" s="536"/>
      <c r="F651" s="535"/>
      <c r="G651" s="535"/>
      <c r="H651" s="535"/>
      <c r="I651" s="535"/>
      <c r="J651" s="535"/>
      <c r="K651" s="535"/>
      <c r="L651" s="534"/>
      <c r="M651" s="534"/>
      <c r="N651" s="533"/>
    </row>
    <row r="652" spans="1:14" ht="33.75" hidden="1" x14ac:dyDescent="0.2">
      <c r="A652" s="535" t="s">
        <v>815</v>
      </c>
      <c r="B652" s="537"/>
      <c r="C652" s="537"/>
      <c r="D652" s="536"/>
      <c r="E652" s="536"/>
      <c r="F652" s="535"/>
      <c r="G652" s="535"/>
      <c r="H652" s="535"/>
      <c r="I652" s="535"/>
      <c r="J652" s="535"/>
      <c r="K652" s="535"/>
      <c r="L652" s="534"/>
      <c r="M652" s="534"/>
      <c r="N652" s="533"/>
    </row>
    <row r="653" spans="1:14" x14ac:dyDescent="0.2">
      <c r="A653" s="531" t="s">
        <v>870</v>
      </c>
      <c r="B653" s="531"/>
      <c r="C653" s="531"/>
      <c r="D653" s="532"/>
      <c r="E653" s="532"/>
      <c r="F653" s="531"/>
      <c r="G653" s="531"/>
    </row>
    <row r="654" spans="1:14" x14ac:dyDescent="0.2">
      <c r="A654" s="531" t="s">
        <v>869</v>
      </c>
      <c r="B654" s="531"/>
      <c r="C654" s="531"/>
      <c r="D654" s="532"/>
      <c r="E654" s="532"/>
      <c r="F654" s="531"/>
      <c r="G654" s="531"/>
    </row>
    <row r="655" spans="1:14" x14ac:dyDescent="0.2">
      <c r="A655" s="531" t="s">
        <v>868</v>
      </c>
      <c r="B655" s="531"/>
      <c r="C655" s="531"/>
      <c r="D655" s="532"/>
      <c r="E655" s="532"/>
      <c r="F655" s="531"/>
      <c r="G655" s="531"/>
    </row>
    <row r="656" spans="1:14" x14ac:dyDescent="0.2">
      <c r="A656" s="531" t="s">
        <v>867</v>
      </c>
      <c r="B656" s="531"/>
      <c r="C656" s="531"/>
      <c r="D656" s="532"/>
      <c r="E656" s="532"/>
      <c r="F656" s="531"/>
      <c r="G656" s="531"/>
    </row>
    <row r="657" spans="1:7" x14ac:dyDescent="0.2">
      <c r="A657" s="531" t="s">
        <v>866</v>
      </c>
      <c r="B657" s="531"/>
      <c r="C657" s="531"/>
      <c r="D657" s="532"/>
      <c r="E657" s="532"/>
      <c r="F657" s="531"/>
      <c r="G657" s="531"/>
    </row>
    <row r="658" spans="1:7" x14ac:dyDescent="0.2">
      <c r="A658" s="531" t="s">
        <v>865</v>
      </c>
      <c r="B658" s="531"/>
      <c r="C658" s="531"/>
      <c r="D658" s="532"/>
      <c r="E658" s="532"/>
      <c r="F658" s="531"/>
      <c r="G658" s="531"/>
    </row>
    <row r="659" spans="1:7" x14ac:dyDescent="0.2">
      <c r="A659" s="531" t="s">
        <v>864</v>
      </c>
      <c r="B659" s="531"/>
      <c r="C659" s="531"/>
      <c r="D659" s="532"/>
      <c r="E659" s="532"/>
      <c r="F659" s="531"/>
      <c r="G659" s="531"/>
    </row>
    <row r="660" spans="1:7" x14ac:dyDescent="0.2">
      <c r="A660" s="531" t="s">
        <v>863</v>
      </c>
      <c r="B660" s="531"/>
      <c r="C660" s="531"/>
      <c r="D660" s="532"/>
      <c r="E660" s="532"/>
      <c r="F660" s="531"/>
      <c r="G660" s="531"/>
    </row>
  </sheetData>
  <mergeCells count="4">
    <mergeCell ref="W297:X297"/>
    <mergeCell ref="T300:U300"/>
    <mergeCell ref="W300:X300"/>
    <mergeCell ref="W302:Y302"/>
  </mergeCells>
  <conditionalFormatting sqref="M200:N200 H129:L129 H132:L133 H147:L148 H150:L151 H153:L153 H159:L160 H167:L168 H170:L171 H173:L174 H182:L183 H185:L186 H188:L189 H194:L195 H197:L198 H204:L205 H226:L227 H210:N210 H123:L123 H142:L142 H139:L139 I145:N145 H164:L165 H176:L177 H179:L180 H191:L192 H201:L202 H212:N213 H215:N216 H219:L224 H126:L126 I124:L124 I127:L127 I130:L130 I138:N138 I140:L140 I143:L143 I154:L154 M209:N209">
    <cfRule type="expression" dxfId="124" priority="121" stopIfTrue="1">
      <formula>H$122="No Aplica"</formula>
    </cfRule>
  </conditionalFormatting>
  <conditionalFormatting sqref="L332:N343 L345:N348 L349:L356">
    <cfRule type="expression" dxfId="123" priority="119" stopIfTrue="1">
      <formula>L$331="No Aplica"</formula>
    </cfRule>
  </conditionalFormatting>
  <conditionalFormatting sqref="M377:N378 M380:N381 M383:N387 M398:N399 M411:N413 M401:N409 M373:N373 M395:N395 H374:L375 H377:L387 H360:L365 H370:N372 H392:N393 H396:L399 H389:N390 H401:L413">
    <cfRule type="expression" dxfId="122" priority="118" stopIfTrue="1">
      <formula>H$359="No Aplica"</formula>
    </cfRule>
  </conditionalFormatting>
  <conditionalFormatting sqref="M453:N453 M456:N456 M460:N464 L458:L467 L471:N498 E446 H470:K470 H459:K463 H441:N441 H449:L451 H444:N444 H446:N446 M448:N448 H453:L456">
    <cfRule type="expression" dxfId="121" priority="117" stopIfTrue="1">
      <formula>E$436="No Aplica"</formula>
    </cfRule>
  </conditionalFormatting>
  <conditionalFormatting sqref="J558:K560 J550:J557 H550:I562 H563:K565 H568:K568 H585:K588 H536:K547 H590:K596 H600:K611 H576:K583 H566:I567 H569:I569">
    <cfRule type="expression" dxfId="120" priority="116" stopIfTrue="1">
      <formula>H$534="No Aplica"</formula>
    </cfRule>
  </conditionalFormatting>
  <conditionalFormatting sqref="H623:K631 H634:K636 H638:K640 H642:K652 H613:K621 H535:K535">
    <cfRule type="expression" dxfId="119" priority="114" stopIfTrue="1">
      <formula>H$534="No Aplica"</formula>
    </cfRule>
    <cfRule type="expression" dxfId="118" priority="115" stopIfTrue="1">
      <formula>H$535="No"</formula>
    </cfRule>
  </conditionalFormatting>
  <conditionalFormatting sqref="L38:L45 M41:N45">
    <cfRule type="expression" dxfId="117" priority="113" stopIfTrue="1">
      <formula>$L$37="No Aplica"</formula>
    </cfRule>
  </conditionalFormatting>
  <conditionalFormatting sqref="M38:M40">
    <cfRule type="expression" dxfId="116" priority="112" stopIfTrue="1">
      <formula>$M$37="No Aplica"</formula>
    </cfRule>
  </conditionalFormatting>
  <conditionalFormatting sqref="N38:N40">
    <cfRule type="expression" dxfId="115" priority="111" stopIfTrue="1">
      <formula>$N$37="No Aplica"</formula>
    </cfRule>
  </conditionalFormatting>
  <conditionalFormatting sqref="L25:L29 H26:K29 H31:L31 H33:L35">
    <cfRule type="expression" dxfId="114" priority="110" stopIfTrue="1">
      <formula>$L$24="No Aplica"</formula>
    </cfRule>
  </conditionalFormatting>
  <conditionalFormatting sqref="M25:M27 M29 M31 M33:M35">
    <cfRule type="expression" dxfId="113" priority="109" stopIfTrue="1">
      <formula>$M$24="No Aplica"</formula>
    </cfRule>
  </conditionalFormatting>
  <conditionalFormatting sqref="N25:N27 N29 N31 N33:N35">
    <cfRule type="expression" dxfId="112" priority="108" stopIfTrue="1">
      <formula>$N$24="No Aplica"</formula>
    </cfRule>
  </conditionalFormatting>
  <conditionalFormatting sqref="F19:N19 F234:N234 F24:N24 B37:N37 B48:N48 F277:N277 F331:N331 F359:N359 E418:K418 F122:N122 F534:N534 C49:N52">
    <cfRule type="cellIs" dxfId="111" priority="107" stopIfTrue="1" operator="equal">
      <formula>"""No Aplica"""</formula>
    </cfRule>
  </conditionalFormatting>
  <conditionalFormatting sqref="L20:L21">
    <cfRule type="expression" dxfId="110" priority="106" stopIfTrue="1">
      <formula>$L$19="No Aplica"</formula>
    </cfRule>
  </conditionalFormatting>
  <conditionalFormatting sqref="M20:N21">
    <cfRule type="expression" dxfId="109" priority="105" stopIfTrue="1">
      <formula>$M$19="No Aplica"</formula>
    </cfRule>
  </conditionalFormatting>
  <conditionalFormatting sqref="N20:N21">
    <cfRule type="expression" dxfId="108" priority="104" stopIfTrue="1">
      <formula>$N$19="No Aplica"</formula>
    </cfRule>
  </conditionalFormatting>
  <conditionalFormatting sqref="M502:N509 L527:N528 L517:N524 L512:N515">
    <cfRule type="expression" dxfId="107" priority="103" stopIfTrue="1">
      <formula>L$459="No Aplica"</formula>
    </cfRule>
  </conditionalFormatting>
  <conditionalFormatting sqref="L502:L509">
    <cfRule type="expression" dxfId="106" priority="102" stopIfTrue="1">
      <formula>L$459="No Aplica"</formula>
    </cfRule>
  </conditionalFormatting>
  <conditionalFormatting sqref="K550:K557">
    <cfRule type="expression" dxfId="105" priority="101" stopIfTrue="1">
      <formula>K$534="No Aplica"</formula>
    </cfRule>
  </conditionalFormatting>
  <conditionalFormatting sqref="J566:K567">
    <cfRule type="expression" dxfId="104" priority="100" stopIfTrue="1">
      <formula>J$534="No Aplica"</formula>
    </cfRule>
  </conditionalFormatting>
  <conditionalFormatting sqref="J561:K562">
    <cfRule type="expression" dxfId="103" priority="99" stopIfTrue="1">
      <formula>J$534="No Aplica"</formula>
    </cfRule>
  </conditionalFormatting>
  <conditionalFormatting sqref="J569:K569">
    <cfRule type="expression" dxfId="102" priority="98" stopIfTrue="1">
      <formula>J$534="No Aplica"</formula>
    </cfRule>
  </conditionalFormatting>
  <conditionalFormatting sqref="H253:N254 F256:N256">
    <cfRule type="expression" dxfId="101" priority="97" stopIfTrue="1">
      <formula>F$234="No Aplica"</formula>
    </cfRule>
  </conditionalFormatting>
  <conditionalFormatting sqref="L241:L251 M241:N248 M250:N250 L239:N239 H241:K242 H257:N258 H246:K250">
    <cfRule type="expression" dxfId="100" priority="95" stopIfTrue="1">
      <formula>H$234="No Aplica"</formula>
    </cfRule>
    <cfRule type="expression" dxfId="99" priority="96" stopIfTrue="1">
      <formula>H$236="Inventario Inicial"</formula>
    </cfRule>
  </conditionalFormatting>
  <conditionalFormatting sqref="L238:N238">
    <cfRule type="expression" dxfId="98" priority="93" stopIfTrue="1">
      <formula>L$234="No Aplica"</formula>
    </cfRule>
    <cfRule type="expression" dxfId="97" priority="94" stopIfTrue="1">
      <formula>L$236="Acumulacion de Inventarios"</formula>
    </cfRule>
  </conditionalFormatting>
  <conditionalFormatting sqref="H29 H31 H33">
    <cfRule type="expression" dxfId="96" priority="92" stopIfTrue="1">
      <formula>$K$23="No Aplica"</formula>
    </cfRule>
  </conditionalFormatting>
  <conditionalFormatting sqref="H147">
    <cfRule type="expression" dxfId="95" priority="91" stopIfTrue="1">
      <formula>H$124="No Aplica"</formula>
    </cfRule>
  </conditionalFormatting>
  <conditionalFormatting sqref="G241">
    <cfRule type="expression" dxfId="94" priority="89" stopIfTrue="1">
      <formula>G$234="No Aplica"</formula>
    </cfRule>
    <cfRule type="expression" dxfId="93" priority="90" stopIfTrue="1">
      <formula>G$236="Inventario Inicial"</formula>
    </cfRule>
  </conditionalFormatting>
  <conditionalFormatting sqref="G246:G250">
    <cfRule type="expression" dxfId="92" priority="87" stopIfTrue="1">
      <formula>G$234="No Aplica"</formula>
    </cfRule>
    <cfRule type="expression" dxfId="91" priority="88" stopIfTrue="1">
      <formula>G$236="Inventario Inicial"</formula>
    </cfRule>
  </conditionalFormatting>
  <conditionalFormatting sqref="G253:G254">
    <cfRule type="expression" dxfId="90" priority="86" stopIfTrue="1">
      <formula>G$234="No Aplica"</formula>
    </cfRule>
  </conditionalFormatting>
  <conditionalFormatting sqref="G441">
    <cfRule type="expression" dxfId="89" priority="85" stopIfTrue="1">
      <formula>G$436="No Aplica"</formula>
    </cfRule>
  </conditionalFormatting>
  <conditionalFormatting sqref="G446">
    <cfRule type="expression" dxfId="88" priority="84" stopIfTrue="1">
      <formula>G$436="No Aplica"</formula>
    </cfRule>
  </conditionalFormatting>
  <conditionalFormatting sqref="G535">
    <cfRule type="expression" dxfId="87" priority="82" stopIfTrue="1">
      <formula>G$534="No Aplica"</formula>
    </cfRule>
    <cfRule type="expression" dxfId="86" priority="83" stopIfTrue="1">
      <formula>G$535="No"</formula>
    </cfRule>
  </conditionalFormatting>
  <conditionalFormatting sqref="G221">
    <cfRule type="expression" dxfId="85" priority="81" stopIfTrue="1">
      <formula>G$122="No Aplica"</formula>
    </cfRule>
  </conditionalFormatting>
  <conditionalFormatting sqref="G385">
    <cfRule type="expression" dxfId="84" priority="78" stopIfTrue="1">
      <formula>G$359="No Aplica"</formula>
    </cfRule>
  </conditionalFormatting>
  <conditionalFormatting sqref="G576">
    <cfRule type="expression" dxfId="83" priority="77" stopIfTrue="1">
      <formula>G$534="No Aplica"</formula>
    </cfRule>
  </conditionalFormatting>
  <conditionalFormatting sqref="F241">
    <cfRule type="expression" dxfId="82" priority="73" stopIfTrue="1">
      <formula>F$234="No Aplica"</formula>
    </cfRule>
    <cfRule type="expression" dxfId="81" priority="74" stopIfTrue="1">
      <formula>F$236="Inventario Inicial"</formula>
    </cfRule>
  </conditionalFormatting>
  <conditionalFormatting sqref="F246:F250">
    <cfRule type="expression" dxfId="80" priority="71" stopIfTrue="1">
      <formula>F$234="No Aplica"</formula>
    </cfRule>
    <cfRule type="expression" dxfId="79" priority="72" stopIfTrue="1">
      <formula>F$236="Inventario Inicial"</formula>
    </cfRule>
  </conditionalFormatting>
  <conditionalFormatting sqref="F253:F254">
    <cfRule type="expression" dxfId="78" priority="70" stopIfTrue="1">
      <formula>F$234="No Aplica"</formula>
    </cfRule>
  </conditionalFormatting>
  <conditionalFormatting sqref="F441">
    <cfRule type="expression" dxfId="77" priority="69" stopIfTrue="1">
      <formula>F$436="No Aplica"</formula>
    </cfRule>
  </conditionalFormatting>
  <conditionalFormatting sqref="F446">
    <cfRule type="expression" dxfId="76" priority="68" stopIfTrue="1">
      <formula>F$436="No Aplica"</formula>
    </cfRule>
  </conditionalFormatting>
  <conditionalFormatting sqref="F535">
    <cfRule type="expression" dxfId="75" priority="66" stopIfTrue="1">
      <formula>F$534="No Aplica"</formula>
    </cfRule>
    <cfRule type="expression" dxfId="74" priority="67" stopIfTrue="1">
      <formula>F$535="No"</formula>
    </cfRule>
  </conditionalFormatting>
  <conditionalFormatting sqref="F221">
    <cfRule type="expression" dxfId="73" priority="65" stopIfTrue="1">
      <formula>F$122="No Aplica"</formula>
    </cfRule>
  </conditionalFormatting>
  <conditionalFormatting sqref="F385">
    <cfRule type="expression" dxfId="72" priority="62" stopIfTrue="1">
      <formula>F$359="No Aplica"</formula>
    </cfRule>
  </conditionalFormatting>
  <conditionalFormatting sqref="F576">
    <cfRule type="expression" dxfId="71" priority="61" stopIfTrue="1">
      <formula>F$534="No Aplica"</formula>
    </cfRule>
  </conditionalFormatting>
  <conditionalFormatting sqref="E221">
    <cfRule type="expression" dxfId="70" priority="58" stopIfTrue="1">
      <formula>E$122="No Aplica"</formula>
    </cfRule>
  </conditionalFormatting>
  <conditionalFormatting sqref="B279:N279">
    <cfRule type="expression" dxfId="69" priority="53" stopIfTrue="1">
      <formula>B$277="No Aplica"</formula>
    </cfRule>
  </conditionalFormatting>
  <conditionalFormatting sqref="B280:N280">
    <cfRule type="expression" dxfId="68" priority="52" stopIfTrue="1">
      <formula>B$277="No Aplica"</formula>
    </cfRule>
  </conditionalFormatting>
  <conditionalFormatting sqref="B291:N291">
    <cfRule type="expression" dxfId="67" priority="51" stopIfTrue="1">
      <formula>B$277="No Aplica"</formula>
    </cfRule>
  </conditionalFormatting>
  <conditionalFormatting sqref="B325:N325">
    <cfRule type="expression" dxfId="66" priority="50" stopIfTrue="1">
      <formula>B$277="No Aplica"</formula>
    </cfRule>
  </conditionalFormatting>
  <conditionalFormatting sqref="B310:N310">
    <cfRule type="expression" dxfId="65" priority="49" stopIfTrue="1">
      <formula>B$277="No Aplica"</formula>
    </cfRule>
  </conditionalFormatting>
  <conditionalFormatting sqref="E441">
    <cfRule type="expression" dxfId="64" priority="48" stopIfTrue="1">
      <formula>E$436="No Aplica"</formula>
    </cfRule>
  </conditionalFormatting>
  <conditionalFormatting sqref="E446">
    <cfRule type="expression" dxfId="63" priority="47" stopIfTrue="1">
      <formula>E$436="No Aplica"</formula>
    </cfRule>
  </conditionalFormatting>
  <conditionalFormatting sqref="B437">
    <cfRule type="expression" dxfId="62" priority="46" stopIfTrue="1">
      <formula>B$436="No Aplica"</formula>
    </cfRule>
  </conditionalFormatting>
  <conditionalFormatting sqref="B438:B439">
    <cfRule type="expression" dxfId="61" priority="45" stopIfTrue="1">
      <formula>B$436="No Aplica"</formula>
    </cfRule>
  </conditionalFormatting>
  <conditionalFormatting sqref="B440">
    <cfRule type="expression" dxfId="60" priority="44" stopIfTrue="1">
      <formula>B$436="No Aplica"</formula>
    </cfRule>
  </conditionalFormatting>
  <conditionalFormatting sqref="B442">
    <cfRule type="expression" dxfId="59" priority="43" stopIfTrue="1">
      <formula>B$436="No Aplica"</formula>
    </cfRule>
  </conditionalFormatting>
  <conditionalFormatting sqref="B443">
    <cfRule type="expression" dxfId="58" priority="42" stopIfTrue="1">
      <formula>B$436="No Aplica"</formula>
    </cfRule>
  </conditionalFormatting>
  <conditionalFormatting sqref="B446:D446">
    <cfRule type="expression" dxfId="57" priority="41" stopIfTrue="1">
      <formula>B$436="No Aplica"</formula>
    </cfRule>
  </conditionalFormatting>
  <conditionalFormatting sqref="B447">
    <cfRule type="expression" dxfId="56" priority="40" stopIfTrue="1">
      <formula>B$436="No Aplica"</formula>
    </cfRule>
  </conditionalFormatting>
  <conditionalFormatting sqref="B445">
    <cfRule type="expression" dxfId="55" priority="39" stopIfTrue="1">
      <formula>B$436="No Aplica"</formula>
    </cfRule>
  </conditionalFormatting>
  <conditionalFormatting sqref="B452">
    <cfRule type="expression" dxfId="54" priority="38" stopIfTrue="1">
      <formula>B$436="No Aplica"</formula>
    </cfRule>
  </conditionalFormatting>
  <conditionalFormatting sqref="D446">
    <cfRule type="expression" dxfId="53" priority="36" stopIfTrue="1">
      <formula>D$436="No Aplica"</formula>
    </cfRule>
  </conditionalFormatting>
  <conditionalFormatting sqref="H69:N69 H85:N85 H89:N89 H92:N97 H101:N101 H105:N105 H113:N113 H53:N53 H61:N61 D73:N73 D65:N65">
    <cfRule type="expression" dxfId="52" priority="122" stopIfTrue="1">
      <formula>$N$48="No Aplica"</formula>
    </cfRule>
  </conditionalFormatting>
  <conditionalFormatting sqref="B19:E19">
    <cfRule type="cellIs" dxfId="51" priority="34" stopIfTrue="1" operator="equal">
      <formula>"""No Aplica"""</formula>
    </cfRule>
  </conditionalFormatting>
  <conditionalFormatting sqref="B122:E122">
    <cfRule type="cellIs" dxfId="50" priority="33" stopIfTrue="1" operator="equal">
      <formula>"""No Aplica"""</formula>
    </cfRule>
  </conditionalFormatting>
  <conditionalFormatting sqref="B277:E277">
    <cfRule type="cellIs" dxfId="49" priority="32" stopIfTrue="1" operator="equal">
      <formula>"""No Aplica"""</formula>
    </cfRule>
  </conditionalFormatting>
  <conditionalFormatting sqref="B331:E331">
    <cfRule type="cellIs" dxfId="48" priority="31" stopIfTrue="1" operator="equal">
      <formula>"""No Aplica"""</formula>
    </cfRule>
  </conditionalFormatting>
  <conditionalFormatting sqref="B359:E359">
    <cfRule type="cellIs" dxfId="47" priority="30" stopIfTrue="1" operator="equal">
      <formula>"""No Aplica"""</formula>
    </cfRule>
  </conditionalFormatting>
  <conditionalFormatting sqref="B418:D418">
    <cfRule type="cellIs" dxfId="46" priority="29" stopIfTrue="1" operator="equal">
      <formula>"""No Aplica"""</formula>
    </cfRule>
  </conditionalFormatting>
  <conditionalFormatting sqref="B436">
    <cfRule type="cellIs" dxfId="45" priority="28" stopIfTrue="1" operator="equal">
      <formula>"""No Aplica"""</formula>
    </cfRule>
  </conditionalFormatting>
  <conditionalFormatting sqref="C436:N436">
    <cfRule type="cellIs" dxfId="44" priority="27" stopIfTrue="1" operator="equal">
      <formula>"""No Aplica"""</formula>
    </cfRule>
  </conditionalFormatting>
  <conditionalFormatting sqref="E534">
    <cfRule type="cellIs" dxfId="43" priority="26" stopIfTrue="1" operator="equal">
      <formula>"""No Aplica"""</formula>
    </cfRule>
  </conditionalFormatting>
  <conditionalFormatting sqref="B534:D534">
    <cfRule type="cellIs" dxfId="42" priority="25" stopIfTrue="1" operator="equal">
      <formula>"""No Aplica"""</formula>
    </cfRule>
  </conditionalFormatting>
  <conditionalFormatting sqref="C437:N437">
    <cfRule type="expression" dxfId="41" priority="21" stopIfTrue="1">
      <formula>C$436="No Aplica"</formula>
    </cfRule>
  </conditionalFormatting>
  <conditionalFormatting sqref="C438:N439">
    <cfRule type="expression" dxfId="40" priority="20" stopIfTrue="1">
      <formula>C$436="No Aplica"</formula>
    </cfRule>
  </conditionalFormatting>
  <conditionalFormatting sqref="C440:N440">
    <cfRule type="expression" dxfId="39" priority="19" stopIfTrue="1">
      <formula>C$436="No Aplica"</formula>
    </cfRule>
  </conditionalFormatting>
  <conditionalFormatting sqref="C442:N442">
    <cfRule type="expression" dxfId="38" priority="18" stopIfTrue="1">
      <formula>C$436="No Aplica"</formula>
    </cfRule>
  </conditionalFormatting>
  <conditionalFormatting sqref="C443:N443">
    <cfRule type="expression" dxfId="37" priority="17" stopIfTrue="1">
      <formula>C$436="No Aplica"</formula>
    </cfRule>
  </conditionalFormatting>
  <conditionalFormatting sqref="C445:N445">
    <cfRule type="expression" dxfId="36" priority="16" stopIfTrue="1">
      <formula>C$436="No Aplica"</formula>
    </cfRule>
  </conditionalFormatting>
  <conditionalFormatting sqref="C447:N447">
    <cfRule type="expression" dxfId="35" priority="15" stopIfTrue="1">
      <formula>C$436="No Aplica"</formula>
    </cfRule>
  </conditionalFormatting>
  <conditionalFormatting sqref="C452:N452">
    <cfRule type="expression" dxfId="34" priority="14" stopIfTrue="1">
      <formula>C$436="No Aplica"</formula>
    </cfRule>
  </conditionalFormatting>
  <conditionalFormatting sqref="B73:C73">
    <cfRule type="expression" dxfId="33" priority="13" stopIfTrue="1">
      <formula>$N$48="No Aplica"</formula>
    </cfRule>
  </conditionalFormatting>
  <conditionalFormatting sqref="B24:E24">
    <cfRule type="cellIs" dxfId="32" priority="12" stopIfTrue="1" operator="equal">
      <formula>"""No Aplica"""</formula>
    </cfRule>
  </conditionalFormatting>
  <conditionalFormatting sqref="M28:N28">
    <cfRule type="expression" dxfId="31" priority="11" stopIfTrue="1">
      <formula>$L$24="No Aplica"</formula>
    </cfRule>
  </conditionalFormatting>
  <conditionalFormatting sqref="H30:L30">
    <cfRule type="expression" dxfId="30" priority="10" stopIfTrue="1">
      <formula>$L$24="No Aplica"</formula>
    </cfRule>
  </conditionalFormatting>
  <conditionalFormatting sqref="M30">
    <cfRule type="expression" dxfId="29" priority="9" stopIfTrue="1">
      <formula>$M$24="No Aplica"</formula>
    </cfRule>
  </conditionalFormatting>
  <conditionalFormatting sqref="N30">
    <cfRule type="expression" dxfId="28" priority="8" stopIfTrue="1">
      <formula>$N$24="No Aplica"</formula>
    </cfRule>
  </conditionalFormatting>
  <conditionalFormatting sqref="H30">
    <cfRule type="expression" dxfId="27" priority="7" stopIfTrue="1">
      <formula>$K$23="No Aplica"</formula>
    </cfRule>
  </conditionalFormatting>
  <conditionalFormatting sqref="H32:L32">
    <cfRule type="expression" dxfId="26" priority="6" stopIfTrue="1">
      <formula>$L$24="No Aplica"</formula>
    </cfRule>
  </conditionalFormatting>
  <conditionalFormatting sqref="M32">
    <cfRule type="expression" dxfId="25" priority="5" stopIfTrue="1">
      <formula>$M$24="No Aplica"</formula>
    </cfRule>
  </conditionalFormatting>
  <conditionalFormatting sqref="N32">
    <cfRule type="expression" dxfId="24" priority="4" stopIfTrue="1">
      <formula>$N$24="No Aplica"</formula>
    </cfRule>
  </conditionalFormatting>
  <conditionalFormatting sqref="H32">
    <cfRule type="expression" dxfId="23" priority="3" stopIfTrue="1">
      <formula>$K$23="No Aplica"</formula>
    </cfRule>
  </conditionalFormatting>
  <conditionalFormatting sqref="B49">
    <cfRule type="cellIs" dxfId="22" priority="1" stopIfTrue="1" operator="equal">
      <formula>"""No Aplica"""</formula>
    </cfRule>
  </conditionalFormatting>
  <dataValidations count="8">
    <dataValidation type="list" allowBlank="1" showInputMessage="1" showErrorMessage="1" sqref="WVJ983532:WVV983532 IX501:JJ501 WLN983532:WLZ983532 WBR983532:WCD983532 VRV983532:VSH983532 VHZ983532:VIL983532 UYD983532:UYP983532 UOH983532:UOT983532 UEL983532:UEX983532 TUP983532:TVB983532 TKT983532:TLF983532 TAX983532:TBJ983532 SRB983532:SRN983532 SHF983532:SHR983532 RXJ983532:RXV983532 RNN983532:RNZ983532 RDR983532:RED983532 QTV983532:QUH983532 QJZ983532:QKL983532 QAD983532:QAP983532 PQH983532:PQT983532 PGL983532:PGX983532 OWP983532:OXB983532 OMT983532:ONF983532 OCX983532:ODJ983532 NTB983532:NTN983532 NJF983532:NJR983532 MZJ983532:MZV983532 MPN983532:MPZ983532 MFR983532:MGD983532 LVV983532:LWH983532 LLZ983532:LML983532 LCD983532:LCP983532 KSH983532:KST983532 KIL983532:KIX983532 JYP983532:JZB983532 JOT983532:JPF983532 JEX983532:JFJ983532 IVB983532:IVN983532 ILF983532:ILR983532 IBJ983532:IBV983532 HRN983532:HRZ983532 HHR983532:HID983532 GXV983532:GYH983532 GNZ983532:GOL983532 GED983532:GEP983532 FUH983532:FUT983532 FKL983532:FKX983532 FAP983532:FBB983532 EQT983532:ERF983532 EGX983532:EHJ983532 DXB983532:DXN983532 DNF983532:DNR983532 DDJ983532:DDV983532 CTN983532:CTZ983532 CJR983532:CKD983532 BZV983532:CAH983532 BPZ983532:BQL983532 BGD983532:BGP983532 AWH983532:AWT983532 AML983532:AMX983532 ACP983532:ADB983532 ST983532:TF983532 IX983532:JJ983532 F983532:N983532 WVJ917996:WVV917996 WLN917996:WLZ917996 WBR917996:WCD917996 VRV917996:VSH917996 VHZ917996:VIL917996 UYD917996:UYP917996 UOH917996:UOT917996 UEL917996:UEX917996 TUP917996:TVB917996 TKT917996:TLF917996 TAX917996:TBJ917996 SRB917996:SRN917996 SHF917996:SHR917996 RXJ917996:RXV917996 RNN917996:RNZ917996 RDR917996:RED917996 QTV917996:QUH917996 QJZ917996:QKL917996 QAD917996:QAP917996 PQH917996:PQT917996 PGL917996:PGX917996 OWP917996:OXB917996 OMT917996:ONF917996 OCX917996:ODJ917996 NTB917996:NTN917996 NJF917996:NJR917996 MZJ917996:MZV917996 MPN917996:MPZ917996 MFR917996:MGD917996 LVV917996:LWH917996 LLZ917996:LML917996 LCD917996:LCP917996 KSH917996:KST917996 KIL917996:KIX917996 JYP917996:JZB917996 JOT917996:JPF917996 JEX917996:JFJ917996 IVB917996:IVN917996 ILF917996:ILR917996 IBJ917996:IBV917996 HRN917996:HRZ917996 HHR917996:HID917996 GXV917996:GYH917996 GNZ917996:GOL917996 GED917996:GEP917996 FUH917996:FUT917996 FKL917996:FKX917996 FAP917996:FBB917996 EQT917996:ERF917996 EGX917996:EHJ917996 DXB917996:DXN917996 DNF917996:DNR917996 DDJ917996:DDV917996 CTN917996:CTZ917996 CJR917996:CKD917996 BZV917996:CAH917996 BPZ917996:BQL917996 BGD917996:BGP917996 AWH917996:AWT917996 AML917996:AMX917996 ACP917996:ADB917996 ST917996:TF917996 IX917996:JJ917996 F917996:N917996 WVJ852460:WVV852460 WLN852460:WLZ852460 WBR852460:WCD852460 VRV852460:VSH852460 VHZ852460:VIL852460 UYD852460:UYP852460 UOH852460:UOT852460 UEL852460:UEX852460 TUP852460:TVB852460 TKT852460:TLF852460 TAX852460:TBJ852460 SRB852460:SRN852460 SHF852460:SHR852460 RXJ852460:RXV852460 RNN852460:RNZ852460 RDR852460:RED852460 QTV852460:QUH852460 QJZ852460:QKL852460 QAD852460:QAP852460 PQH852460:PQT852460 PGL852460:PGX852460 OWP852460:OXB852460 OMT852460:ONF852460 OCX852460:ODJ852460 NTB852460:NTN852460 NJF852460:NJR852460 MZJ852460:MZV852460 MPN852460:MPZ852460 MFR852460:MGD852460 LVV852460:LWH852460 LLZ852460:LML852460 LCD852460:LCP852460 KSH852460:KST852460 KIL852460:KIX852460 JYP852460:JZB852460 JOT852460:JPF852460 JEX852460:JFJ852460 IVB852460:IVN852460 ILF852460:ILR852460 IBJ852460:IBV852460 HRN852460:HRZ852460 HHR852460:HID852460 GXV852460:GYH852460 GNZ852460:GOL852460 GED852460:GEP852460 FUH852460:FUT852460 FKL852460:FKX852460 FAP852460:FBB852460 EQT852460:ERF852460 EGX852460:EHJ852460 DXB852460:DXN852460 DNF852460:DNR852460 DDJ852460:DDV852460 CTN852460:CTZ852460 CJR852460:CKD852460 BZV852460:CAH852460 BPZ852460:BQL852460 BGD852460:BGP852460 AWH852460:AWT852460 AML852460:AMX852460 ACP852460:ADB852460 ST852460:TF852460 IX852460:JJ852460 F852460:N852460 WVJ786924:WVV786924 WLN786924:WLZ786924 WBR786924:WCD786924 VRV786924:VSH786924 VHZ786924:VIL786924 UYD786924:UYP786924 UOH786924:UOT786924 UEL786924:UEX786924 TUP786924:TVB786924 TKT786924:TLF786924 TAX786924:TBJ786924 SRB786924:SRN786924 SHF786924:SHR786924 RXJ786924:RXV786924 RNN786924:RNZ786924 RDR786924:RED786924 QTV786924:QUH786924 QJZ786924:QKL786924 QAD786924:QAP786924 PQH786924:PQT786924 PGL786924:PGX786924 OWP786924:OXB786924 OMT786924:ONF786924 OCX786924:ODJ786924 NTB786924:NTN786924 NJF786924:NJR786924 MZJ786924:MZV786924 MPN786924:MPZ786924 MFR786924:MGD786924 LVV786924:LWH786924 LLZ786924:LML786924 LCD786924:LCP786924 KSH786924:KST786924 KIL786924:KIX786924 JYP786924:JZB786924 JOT786924:JPF786924 JEX786924:JFJ786924 IVB786924:IVN786924 ILF786924:ILR786924 IBJ786924:IBV786924 HRN786924:HRZ786924 HHR786924:HID786924 GXV786924:GYH786924 GNZ786924:GOL786924 GED786924:GEP786924 FUH786924:FUT786924 FKL786924:FKX786924 FAP786924:FBB786924 EQT786924:ERF786924 EGX786924:EHJ786924 DXB786924:DXN786924 DNF786924:DNR786924 DDJ786924:DDV786924 CTN786924:CTZ786924 CJR786924:CKD786924 BZV786924:CAH786924 BPZ786924:BQL786924 BGD786924:BGP786924 AWH786924:AWT786924 AML786924:AMX786924 ACP786924:ADB786924 ST786924:TF786924 IX786924:JJ786924 F786924:N786924 WVJ721388:WVV721388 WLN721388:WLZ721388 WBR721388:WCD721388 VRV721388:VSH721388 VHZ721388:VIL721388 UYD721388:UYP721388 UOH721388:UOT721388 UEL721388:UEX721388 TUP721388:TVB721388 TKT721388:TLF721388 TAX721388:TBJ721388 SRB721388:SRN721388 SHF721388:SHR721388 RXJ721388:RXV721388 RNN721388:RNZ721388 RDR721388:RED721388 QTV721388:QUH721388 QJZ721388:QKL721388 QAD721388:QAP721388 PQH721388:PQT721388 PGL721388:PGX721388 OWP721388:OXB721388 OMT721388:ONF721388 OCX721388:ODJ721388 NTB721388:NTN721388 NJF721388:NJR721388 MZJ721388:MZV721388 MPN721388:MPZ721388 MFR721388:MGD721388 LVV721388:LWH721388 LLZ721388:LML721388 LCD721388:LCP721388 KSH721388:KST721388 KIL721388:KIX721388 JYP721388:JZB721388 JOT721388:JPF721388 JEX721388:JFJ721388 IVB721388:IVN721388 ILF721388:ILR721388 IBJ721388:IBV721388 HRN721388:HRZ721388 HHR721388:HID721388 GXV721388:GYH721388 GNZ721388:GOL721388 GED721388:GEP721388 FUH721388:FUT721388 FKL721388:FKX721388 FAP721388:FBB721388 EQT721388:ERF721388 EGX721388:EHJ721388 DXB721388:DXN721388 DNF721388:DNR721388 DDJ721388:DDV721388 CTN721388:CTZ721388 CJR721388:CKD721388 BZV721388:CAH721388 BPZ721388:BQL721388 BGD721388:BGP721388 AWH721388:AWT721388 AML721388:AMX721388 ACP721388:ADB721388 ST721388:TF721388 IX721388:JJ721388 F721388:N721388 WVJ655852:WVV655852 WLN655852:WLZ655852 WBR655852:WCD655852 VRV655852:VSH655852 VHZ655852:VIL655852 UYD655852:UYP655852 UOH655852:UOT655852 UEL655852:UEX655852 TUP655852:TVB655852 TKT655852:TLF655852 TAX655852:TBJ655852 SRB655852:SRN655852 SHF655852:SHR655852 RXJ655852:RXV655852 RNN655852:RNZ655852 RDR655852:RED655852 QTV655852:QUH655852 QJZ655852:QKL655852 QAD655852:QAP655852 PQH655852:PQT655852 PGL655852:PGX655852 OWP655852:OXB655852 OMT655852:ONF655852 OCX655852:ODJ655852 NTB655852:NTN655852 NJF655852:NJR655852 MZJ655852:MZV655852 MPN655852:MPZ655852 MFR655852:MGD655852 LVV655852:LWH655852 LLZ655852:LML655852 LCD655852:LCP655852 KSH655852:KST655852 KIL655852:KIX655852 JYP655852:JZB655852 JOT655852:JPF655852 JEX655852:JFJ655852 IVB655852:IVN655852 ILF655852:ILR655852 IBJ655852:IBV655852 HRN655852:HRZ655852 HHR655852:HID655852 GXV655852:GYH655852 GNZ655852:GOL655852 GED655852:GEP655852 FUH655852:FUT655852 FKL655852:FKX655852 FAP655852:FBB655852 EQT655852:ERF655852 EGX655852:EHJ655852 DXB655852:DXN655852 DNF655852:DNR655852 DDJ655852:DDV655852 CTN655852:CTZ655852 CJR655852:CKD655852 BZV655852:CAH655852 BPZ655852:BQL655852 BGD655852:BGP655852 AWH655852:AWT655852 AML655852:AMX655852 ACP655852:ADB655852 ST655852:TF655852 IX655852:JJ655852 F655852:N655852 WVJ590316:WVV590316 WLN590316:WLZ590316 WBR590316:WCD590316 VRV590316:VSH590316 VHZ590316:VIL590316 UYD590316:UYP590316 UOH590316:UOT590316 UEL590316:UEX590316 TUP590316:TVB590316 TKT590316:TLF590316 TAX590316:TBJ590316 SRB590316:SRN590316 SHF590316:SHR590316 RXJ590316:RXV590316 RNN590316:RNZ590316 RDR590316:RED590316 QTV590316:QUH590316 QJZ590316:QKL590316 QAD590316:QAP590316 PQH590316:PQT590316 PGL590316:PGX590316 OWP590316:OXB590316 OMT590316:ONF590316 OCX590316:ODJ590316 NTB590316:NTN590316 NJF590316:NJR590316 MZJ590316:MZV590316 MPN590316:MPZ590316 MFR590316:MGD590316 LVV590316:LWH590316 LLZ590316:LML590316 LCD590316:LCP590316 KSH590316:KST590316 KIL590316:KIX590316 JYP590316:JZB590316 JOT590316:JPF590316 JEX590316:JFJ590316 IVB590316:IVN590316 ILF590316:ILR590316 IBJ590316:IBV590316 HRN590316:HRZ590316 HHR590316:HID590316 GXV590316:GYH590316 GNZ590316:GOL590316 GED590316:GEP590316 FUH590316:FUT590316 FKL590316:FKX590316 FAP590316:FBB590316 EQT590316:ERF590316 EGX590316:EHJ590316 DXB590316:DXN590316 DNF590316:DNR590316 DDJ590316:DDV590316 CTN590316:CTZ590316 CJR590316:CKD590316 BZV590316:CAH590316 BPZ590316:BQL590316 BGD590316:BGP590316 AWH590316:AWT590316 AML590316:AMX590316 ACP590316:ADB590316 ST590316:TF590316 IX590316:JJ590316 F590316:N590316 WVJ524780:WVV524780 WLN524780:WLZ524780 WBR524780:WCD524780 VRV524780:VSH524780 VHZ524780:VIL524780 UYD524780:UYP524780 UOH524780:UOT524780 UEL524780:UEX524780 TUP524780:TVB524780 TKT524780:TLF524780 TAX524780:TBJ524780 SRB524780:SRN524780 SHF524780:SHR524780 RXJ524780:RXV524780 RNN524780:RNZ524780 RDR524780:RED524780 QTV524780:QUH524780 QJZ524780:QKL524780 QAD524780:QAP524780 PQH524780:PQT524780 PGL524780:PGX524780 OWP524780:OXB524780 OMT524780:ONF524780 OCX524780:ODJ524780 NTB524780:NTN524780 NJF524780:NJR524780 MZJ524780:MZV524780 MPN524780:MPZ524780 MFR524780:MGD524780 LVV524780:LWH524780 LLZ524780:LML524780 LCD524780:LCP524780 KSH524780:KST524780 KIL524780:KIX524780 JYP524780:JZB524780 JOT524780:JPF524780 JEX524780:JFJ524780 IVB524780:IVN524780 ILF524780:ILR524780 IBJ524780:IBV524780 HRN524780:HRZ524780 HHR524780:HID524780 GXV524780:GYH524780 GNZ524780:GOL524780 GED524780:GEP524780 FUH524780:FUT524780 FKL524780:FKX524780 FAP524780:FBB524780 EQT524780:ERF524780 EGX524780:EHJ524780 DXB524780:DXN524780 DNF524780:DNR524780 DDJ524780:DDV524780 CTN524780:CTZ524780 CJR524780:CKD524780 BZV524780:CAH524780 BPZ524780:BQL524780 BGD524780:BGP524780 AWH524780:AWT524780 AML524780:AMX524780 ACP524780:ADB524780 ST524780:TF524780 IX524780:JJ524780 F524780:N524780 WVJ459244:WVV459244 WLN459244:WLZ459244 WBR459244:WCD459244 VRV459244:VSH459244 VHZ459244:VIL459244 UYD459244:UYP459244 UOH459244:UOT459244 UEL459244:UEX459244 TUP459244:TVB459244 TKT459244:TLF459244 TAX459244:TBJ459244 SRB459244:SRN459244 SHF459244:SHR459244 RXJ459244:RXV459244 RNN459244:RNZ459244 RDR459244:RED459244 QTV459244:QUH459244 QJZ459244:QKL459244 QAD459244:QAP459244 PQH459244:PQT459244 PGL459244:PGX459244 OWP459244:OXB459244 OMT459244:ONF459244 OCX459244:ODJ459244 NTB459244:NTN459244 NJF459244:NJR459244 MZJ459244:MZV459244 MPN459244:MPZ459244 MFR459244:MGD459244 LVV459244:LWH459244 LLZ459244:LML459244 LCD459244:LCP459244 KSH459244:KST459244 KIL459244:KIX459244 JYP459244:JZB459244 JOT459244:JPF459244 JEX459244:JFJ459244 IVB459244:IVN459244 ILF459244:ILR459244 IBJ459244:IBV459244 HRN459244:HRZ459244 HHR459244:HID459244 GXV459244:GYH459244 GNZ459244:GOL459244 GED459244:GEP459244 FUH459244:FUT459244 FKL459244:FKX459244 FAP459244:FBB459244 EQT459244:ERF459244 EGX459244:EHJ459244 DXB459244:DXN459244 DNF459244:DNR459244 DDJ459244:DDV459244 CTN459244:CTZ459244 CJR459244:CKD459244 BZV459244:CAH459244 BPZ459244:BQL459244 BGD459244:BGP459244 AWH459244:AWT459244 AML459244:AMX459244 ACP459244:ADB459244 ST459244:TF459244 IX459244:JJ459244 F459244:N459244 WVJ393708:WVV393708 WLN393708:WLZ393708 WBR393708:WCD393708 VRV393708:VSH393708 VHZ393708:VIL393708 UYD393708:UYP393708 UOH393708:UOT393708 UEL393708:UEX393708 TUP393708:TVB393708 TKT393708:TLF393708 TAX393708:TBJ393708 SRB393708:SRN393708 SHF393708:SHR393708 RXJ393708:RXV393708 RNN393708:RNZ393708 RDR393708:RED393708 QTV393708:QUH393708 QJZ393708:QKL393708 QAD393708:QAP393708 PQH393708:PQT393708 PGL393708:PGX393708 OWP393708:OXB393708 OMT393708:ONF393708 OCX393708:ODJ393708 NTB393708:NTN393708 NJF393708:NJR393708 MZJ393708:MZV393708 MPN393708:MPZ393708 MFR393708:MGD393708 LVV393708:LWH393708 LLZ393708:LML393708 LCD393708:LCP393708 KSH393708:KST393708 KIL393708:KIX393708 JYP393708:JZB393708 JOT393708:JPF393708 JEX393708:JFJ393708 IVB393708:IVN393708 ILF393708:ILR393708 IBJ393708:IBV393708 HRN393708:HRZ393708 HHR393708:HID393708 GXV393708:GYH393708 GNZ393708:GOL393708 GED393708:GEP393708 FUH393708:FUT393708 FKL393708:FKX393708 FAP393708:FBB393708 EQT393708:ERF393708 EGX393708:EHJ393708 DXB393708:DXN393708 DNF393708:DNR393708 DDJ393708:DDV393708 CTN393708:CTZ393708 CJR393708:CKD393708 BZV393708:CAH393708 BPZ393708:BQL393708 BGD393708:BGP393708 AWH393708:AWT393708 AML393708:AMX393708 ACP393708:ADB393708 ST393708:TF393708 IX393708:JJ393708 F393708:N393708 WVJ328172:WVV328172 WLN328172:WLZ328172 WBR328172:WCD328172 VRV328172:VSH328172 VHZ328172:VIL328172 UYD328172:UYP328172 UOH328172:UOT328172 UEL328172:UEX328172 TUP328172:TVB328172 TKT328172:TLF328172 TAX328172:TBJ328172 SRB328172:SRN328172 SHF328172:SHR328172 RXJ328172:RXV328172 RNN328172:RNZ328172 RDR328172:RED328172 QTV328172:QUH328172 QJZ328172:QKL328172 QAD328172:QAP328172 PQH328172:PQT328172 PGL328172:PGX328172 OWP328172:OXB328172 OMT328172:ONF328172 OCX328172:ODJ328172 NTB328172:NTN328172 NJF328172:NJR328172 MZJ328172:MZV328172 MPN328172:MPZ328172 MFR328172:MGD328172 LVV328172:LWH328172 LLZ328172:LML328172 LCD328172:LCP328172 KSH328172:KST328172 KIL328172:KIX328172 JYP328172:JZB328172 JOT328172:JPF328172 JEX328172:JFJ328172 IVB328172:IVN328172 ILF328172:ILR328172 IBJ328172:IBV328172 HRN328172:HRZ328172 HHR328172:HID328172 GXV328172:GYH328172 GNZ328172:GOL328172 GED328172:GEP328172 FUH328172:FUT328172 FKL328172:FKX328172 FAP328172:FBB328172 EQT328172:ERF328172 EGX328172:EHJ328172 DXB328172:DXN328172 DNF328172:DNR328172 DDJ328172:DDV328172 CTN328172:CTZ328172 CJR328172:CKD328172 BZV328172:CAH328172 BPZ328172:BQL328172 BGD328172:BGP328172 AWH328172:AWT328172 AML328172:AMX328172 ACP328172:ADB328172 ST328172:TF328172 IX328172:JJ328172 F328172:N328172 WVJ262636:WVV262636 WLN262636:WLZ262636 WBR262636:WCD262636 VRV262636:VSH262636 VHZ262636:VIL262636 UYD262636:UYP262636 UOH262636:UOT262636 UEL262636:UEX262636 TUP262636:TVB262636 TKT262636:TLF262636 TAX262636:TBJ262636 SRB262636:SRN262636 SHF262636:SHR262636 RXJ262636:RXV262636 RNN262636:RNZ262636 RDR262636:RED262636 QTV262636:QUH262636 QJZ262636:QKL262636 QAD262636:QAP262636 PQH262636:PQT262636 PGL262636:PGX262636 OWP262636:OXB262636 OMT262636:ONF262636 OCX262636:ODJ262636 NTB262636:NTN262636 NJF262636:NJR262636 MZJ262636:MZV262636 MPN262636:MPZ262636 MFR262636:MGD262636 LVV262636:LWH262636 LLZ262636:LML262636 LCD262636:LCP262636 KSH262636:KST262636 KIL262636:KIX262636 JYP262636:JZB262636 JOT262636:JPF262636 JEX262636:JFJ262636 IVB262636:IVN262636 ILF262636:ILR262636 IBJ262636:IBV262636 HRN262636:HRZ262636 HHR262636:HID262636 GXV262636:GYH262636 GNZ262636:GOL262636 GED262636:GEP262636 FUH262636:FUT262636 FKL262636:FKX262636 FAP262636:FBB262636 EQT262636:ERF262636 EGX262636:EHJ262636 DXB262636:DXN262636 DNF262636:DNR262636 DDJ262636:DDV262636 CTN262636:CTZ262636 CJR262636:CKD262636 BZV262636:CAH262636 BPZ262636:BQL262636 BGD262636:BGP262636 AWH262636:AWT262636 AML262636:AMX262636 ACP262636:ADB262636 ST262636:TF262636 IX262636:JJ262636 F262636:N262636 WVJ197100:WVV197100 WLN197100:WLZ197100 WBR197100:WCD197100 VRV197100:VSH197100 VHZ197100:VIL197100 UYD197100:UYP197100 UOH197100:UOT197100 UEL197100:UEX197100 TUP197100:TVB197100 TKT197100:TLF197100 TAX197100:TBJ197100 SRB197100:SRN197100 SHF197100:SHR197100 RXJ197100:RXV197100 RNN197100:RNZ197100 RDR197100:RED197100 QTV197100:QUH197100 QJZ197100:QKL197100 QAD197100:QAP197100 PQH197100:PQT197100 PGL197100:PGX197100 OWP197100:OXB197100 OMT197100:ONF197100 OCX197100:ODJ197100 NTB197100:NTN197100 NJF197100:NJR197100 MZJ197100:MZV197100 MPN197100:MPZ197100 MFR197100:MGD197100 LVV197100:LWH197100 LLZ197100:LML197100 LCD197100:LCP197100 KSH197100:KST197100 KIL197100:KIX197100 JYP197100:JZB197100 JOT197100:JPF197100 JEX197100:JFJ197100 IVB197100:IVN197100 ILF197100:ILR197100 IBJ197100:IBV197100 HRN197100:HRZ197100 HHR197100:HID197100 GXV197100:GYH197100 GNZ197100:GOL197100 GED197100:GEP197100 FUH197100:FUT197100 FKL197100:FKX197100 FAP197100:FBB197100 EQT197100:ERF197100 EGX197100:EHJ197100 DXB197100:DXN197100 DNF197100:DNR197100 DDJ197100:DDV197100 CTN197100:CTZ197100 CJR197100:CKD197100 BZV197100:CAH197100 BPZ197100:BQL197100 BGD197100:BGP197100 AWH197100:AWT197100 AML197100:AMX197100 ACP197100:ADB197100 ST197100:TF197100 IX197100:JJ197100 F197100:N197100 WVJ131564:WVV131564 WLN131564:WLZ131564 WBR131564:WCD131564 VRV131564:VSH131564 VHZ131564:VIL131564 UYD131564:UYP131564 UOH131564:UOT131564 UEL131564:UEX131564 TUP131564:TVB131564 TKT131564:TLF131564 TAX131564:TBJ131564 SRB131564:SRN131564 SHF131564:SHR131564 RXJ131564:RXV131564 RNN131564:RNZ131564 RDR131564:RED131564 QTV131564:QUH131564 QJZ131564:QKL131564 QAD131564:QAP131564 PQH131564:PQT131564 PGL131564:PGX131564 OWP131564:OXB131564 OMT131564:ONF131564 OCX131564:ODJ131564 NTB131564:NTN131564 NJF131564:NJR131564 MZJ131564:MZV131564 MPN131564:MPZ131564 MFR131564:MGD131564 LVV131564:LWH131564 LLZ131564:LML131564 LCD131564:LCP131564 KSH131564:KST131564 KIL131564:KIX131564 JYP131564:JZB131564 JOT131564:JPF131564 JEX131564:JFJ131564 IVB131564:IVN131564 ILF131564:ILR131564 IBJ131564:IBV131564 HRN131564:HRZ131564 HHR131564:HID131564 GXV131564:GYH131564 GNZ131564:GOL131564 GED131564:GEP131564 FUH131564:FUT131564 FKL131564:FKX131564 FAP131564:FBB131564 EQT131564:ERF131564 EGX131564:EHJ131564 DXB131564:DXN131564 DNF131564:DNR131564 DDJ131564:DDV131564 CTN131564:CTZ131564 CJR131564:CKD131564 BZV131564:CAH131564 BPZ131564:BQL131564 BGD131564:BGP131564 AWH131564:AWT131564 AML131564:AMX131564 ACP131564:ADB131564 ST131564:TF131564 IX131564:JJ131564 F131564:N131564 WVJ66028:WVV66028 WLN66028:WLZ66028 WBR66028:WCD66028 VRV66028:VSH66028 VHZ66028:VIL66028 UYD66028:UYP66028 UOH66028:UOT66028 UEL66028:UEX66028 TUP66028:TVB66028 TKT66028:TLF66028 TAX66028:TBJ66028 SRB66028:SRN66028 SHF66028:SHR66028 RXJ66028:RXV66028 RNN66028:RNZ66028 RDR66028:RED66028 QTV66028:QUH66028 QJZ66028:QKL66028 QAD66028:QAP66028 PQH66028:PQT66028 PGL66028:PGX66028 OWP66028:OXB66028 OMT66028:ONF66028 OCX66028:ODJ66028 NTB66028:NTN66028 NJF66028:NJR66028 MZJ66028:MZV66028 MPN66028:MPZ66028 MFR66028:MGD66028 LVV66028:LWH66028 LLZ66028:LML66028 LCD66028:LCP66028 KSH66028:KST66028 KIL66028:KIX66028 JYP66028:JZB66028 JOT66028:JPF66028 JEX66028:JFJ66028 IVB66028:IVN66028 ILF66028:ILR66028 IBJ66028:IBV66028 HRN66028:HRZ66028 HHR66028:HID66028 GXV66028:GYH66028 GNZ66028:GOL66028 GED66028:GEP66028 FUH66028:FUT66028 FKL66028:FKX66028 FAP66028:FBB66028 EQT66028:ERF66028 EGX66028:EHJ66028 DXB66028:DXN66028 DNF66028:DNR66028 DDJ66028:DDV66028 CTN66028:CTZ66028 CJR66028:CKD66028 BZV66028:CAH66028 BPZ66028:BQL66028 BGD66028:BGP66028 AWH66028:AWT66028 AML66028:AMX66028 ACP66028:ADB66028 ST66028:TF66028 IX66028:JJ66028 F66028:N66028 WVJ501:WVV501 WLN501:WLZ501 WBR501:WCD501 VRV501:VSH501 VHZ501:VIL501 UYD501:UYP501 UOH501:UOT501 UEL501:UEX501 TUP501:TVB501 TKT501:TLF501 TAX501:TBJ501 SRB501:SRN501 SHF501:SHR501 RXJ501:RXV501 RNN501:RNZ501 RDR501:RED501 QTV501:QUH501 QJZ501:QKL501 QAD501:QAP501 PQH501:PQT501 PGL501:PGX501 OWP501:OXB501 OMT501:ONF501 OCX501:ODJ501 NTB501:NTN501 NJF501:NJR501 MZJ501:MZV501 MPN501:MPZ501 MFR501:MGD501 LVV501:LWH501 LLZ501:LML501 LCD501:LCP501 KSH501:KST501 KIL501:KIX501 JYP501:JZB501 JOT501:JPF501 JEX501:JFJ501 IVB501:IVN501 ILF501:ILR501 IBJ501:IBV501 HRN501:HRZ501 HHR501:HID501 GXV501:GYH501 GNZ501:GOL501 GED501:GEP501 FUH501:FUT501 FKL501:FKX501 FAP501:FBB501 EQT501:ERF501 EGX501:EHJ501 DXB501:DXN501 DNF501:DNR501 DDJ501:DDV501 CTN501:CTZ501 CJR501:CKD501 BZV501:CAH501 BPZ501:BQL501 BGD501:BGP501 AWH501:AWT501 AML501:AMX501 ACP501:ADB501 ST501:TF501 B501:N501">
      <formula1>$AG$2:$AG$2</formula1>
    </dataValidation>
    <dataValidation type="list" allowBlank="1" showInputMessage="1" showErrorMessage="1" sqref="IY254:JJ254 WVK983298:WVV983298 WLO983298:WLZ983298 WBS983298:WCD983298 VRW983298:VSH983298 VIA983298:VIL983298 UYE983298:UYP983298 UOI983298:UOT983298 UEM983298:UEX983298 TUQ983298:TVB983298 TKU983298:TLF983298 TAY983298:TBJ983298 SRC983298:SRN983298 SHG983298:SHR983298 RXK983298:RXV983298 RNO983298:RNZ983298 RDS983298:RED983298 QTW983298:QUH983298 QKA983298:QKL983298 QAE983298:QAP983298 PQI983298:PQT983298 PGM983298:PGX983298 OWQ983298:OXB983298 OMU983298:ONF983298 OCY983298:ODJ983298 NTC983298:NTN983298 NJG983298:NJR983298 MZK983298:MZV983298 MPO983298:MPZ983298 MFS983298:MGD983298 LVW983298:LWH983298 LMA983298:LML983298 LCE983298:LCP983298 KSI983298:KST983298 KIM983298:KIX983298 JYQ983298:JZB983298 JOU983298:JPF983298 JEY983298:JFJ983298 IVC983298:IVN983298 ILG983298:ILR983298 IBK983298:IBV983298 HRO983298:HRZ983298 HHS983298:HID983298 GXW983298:GYH983298 GOA983298:GOL983298 GEE983298:GEP983298 FUI983298:FUT983298 FKM983298:FKX983298 FAQ983298:FBB983298 EQU983298:ERF983298 EGY983298:EHJ983298 DXC983298:DXN983298 DNG983298:DNR983298 DDK983298:DDV983298 CTO983298:CTZ983298 CJS983298:CKD983298 BZW983298:CAH983298 BQA983298:BQL983298 BGE983298:BGP983298 AWI983298:AWT983298 AMM983298:AMX983298 ACQ983298:ADB983298 SU983298:TF983298 IY983298:JJ983298 F983298:N983298 WVK917762:WVV917762 WLO917762:WLZ917762 WBS917762:WCD917762 VRW917762:VSH917762 VIA917762:VIL917762 UYE917762:UYP917762 UOI917762:UOT917762 UEM917762:UEX917762 TUQ917762:TVB917762 TKU917762:TLF917762 TAY917762:TBJ917762 SRC917762:SRN917762 SHG917762:SHR917762 RXK917762:RXV917762 RNO917762:RNZ917762 RDS917762:RED917762 QTW917762:QUH917762 QKA917762:QKL917762 QAE917762:QAP917762 PQI917762:PQT917762 PGM917762:PGX917762 OWQ917762:OXB917762 OMU917762:ONF917762 OCY917762:ODJ917762 NTC917762:NTN917762 NJG917762:NJR917762 MZK917762:MZV917762 MPO917762:MPZ917762 MFS917762:MGD917762 LVW917762:LWH917762 LMA917762:LML917762 LCE917762:LCP917762 KSI917762:KST917762 KIM917762:KIX917762 JYQ917762:JZB917762 JOU917762:JPF917762 JEY917762:JFJ917762 IVC917762:IVN917762 ILG917762:ILR917762 IBK917762:IBV917762 HRO917762:HRZ917762 HHS917762:HID917762 GXW917762:GYH917762 GOA917762:GOL917762 GEE917762:GEP917762 FUI917762:FUT917762 FKM917762:FKX917762 FAQ917762:FBB917762 EQU917762:ERF917762 EGY917762:EHJ917762 DXC917762:DXN917762 DNG917762:DNR917762 DDK917762:DDV917762 CTO917762:CTZ917762 CJS917762:CKD917762 BZW917762:CAH917762 BQA917762:BQL917762 BGE917762:BGP917762 AWI917762:AWT917762 AMM917762:AMX917762 ACQ917762:ADB917762 SU917762:TF917762 IY917762:JJ917762 F917762:N917762 WVK852226:WVV852226 WLO852226:WLZ852226 WBS852226:WCD852226 VRW852226:VSH852226 VIA852226:VIL852226 UYE852226:UYP852226 UOI852226:UOT852226 UEM852226:UEX852226 TUQ852226:TVB852226 TKU852226:TLF852226 TAY852226:TBJ852226 SRC852226:SRN852226 SHG852226:SHR852226 RXK852226:RXV852226 RNO852226:RNZ852226 RDS852226:RED852226 QTW852226:QUH852226 QKA852226:QKL852226 QAE852226:QAP852226 PQI852226:PQT852226 PGM852226:PGX852226 OWQ852226:OXB852226 OMU852226:ONF852226 OCY852226:ODJ852226 NTC852226:NTN852226 NJG852226:NJR852226 MZK852226:MZV852226 MPO852226:MPZ852226 MFS852226:MGD852226 LVW852226:LWH852226 LMA852226:LML852226 LCE852226:LCP852226 KSI852226:KST852226 KIM852226:KIX852226 JYQ852226:JZB852226 JOU852226:JPF852226 JEY852226:JFJ852226 IVC852226:IVN852226 ILG852226:ILR852226 IBK852226:IBV852226 HRO852226:HRZ852226 HHS852226:HID852226 GXW852226:GYH852226 GOA852226:GOL852226 GEE852226:GEP852226 FUI852226:FUT852226 FKM852226:FKX852226 FAQ852226:FBB852226 EQU852226:ERF852226 EGY852226:EHJ852226 DXC852226:DXN852226 DNG852226:DNR852226 DDK852226:DDV852226 CTO852226:CTZ852226 CJS852226:CKD852226 BZW852226:CAH852226 BQA852226:BQL852226 BGE852226:BGP852226 AWI852226:AWT852226 AMM852226:AMX852226 ACQ852226:ADB852226 SU852226:TF852226 IY852226:JJ852226 F852226:N852226 WVK786690:WVV786690 WLO786690:WLZ786690 WBS786690:WCD786690 VRW786690:VSH786690 VIA786690:VIL786690 UYE786690:UYP786690 UOI786690:UOT786690 UEM786690:UEX786690 TUQ786690:TVB786690 TKU786690:TLF786690 TAY786690:TBJ786690 SRC786690:SRN786690 SHG786690:SHR786690 RXK786690:RXV786690 RNO786690:RNZ786690 RDS786690:RED786690 QTW786690:QUH786690 QKA786690:QKL786690 QAE786690:QAP786690 PQI786690:PQT786690 PGM786690:PGX786690 OWQ786690:OXB786690 OMU786690:ONF786690 OCY786690:ODJ786690 NTC786690:NTN786690 NJG786690:NJR786690 MZK786690:MZV786690 MPO786690:MPZ786690 MFS786690:MGD786690 LVW786690:LWH786690 LMA786690:LML786690 LCE786690:LCP786690 KSI786690:KST786690 KIM786690:KIX786690 JYQ786690:JZB786690 JOU786690:JPF786690 JEY786690:JFJ786690 IVC786690:IVN786690 ILG786690:ILR786690 IBK786690:IBV786690 HRO786690:HRZ786690 HHS786690:HID786690 GXW786690:GYH786690 GOA786690:GOL786690 GEE786690:GEP786690 FUI786690:FUT786690 FKM786690:FKX786690 FAQ786690:FBB786690 EQU786690:ERF786690 EGY786690:EHJ786690 DXC786690:DXN786690 DNG786690:DNR786690 DDK786690:DDV786690 CTO786690:CTZ786690 CJS786690:CKD786690 BZW786690:CAH786690 BQA786690:BQL786690 BGE786690:BGP786690 AWI786690:AWT786690 AMM786690:AMX786690 ACQ786690:ADB786690 SU786690:TF786690 IY786690:JJ786690 F786690:N786690 WVK721154:WVV721154 WLO721154:WLZ721154 WBS721154:WCD721154 VRW721154:VSH721154 VIA721154:VIL721154 UYE721154:UYP721154 UOI721154:UOT721154 UEM721154:UEX721154 TUQ721154:TVB721154 TKU721154:TLF721154 TAY721154:TBJ721154 SRC721154:SRN721154 SHG721154:SHR721154 RXK721154:RXV721154 RNO721154:RNZ721154 RDS721154:RED721154 QTW721154:QUH721154 QKA721154:QKL721154 QAE721154:QAP721154 PQI721154:PQT721154 PGM721154:PGX721154 OWQ721154:OXB721154 OMU721154:ONF721154 OCY721154:ODJ721154 NTC721154:NTN721154 NJG721154:NJR721154 MZK721154:MZV721154 MPO721154:MPZ721154 MFS721154:MGD721154 LVW721154:LWH721154 LMA721154:LML721154 LCE721154:LCP721154 KSI721154:KST721154 KIM721154:KIX721154 JYQ721154:JZB721154 JOU721154:JPF721154 JEY721154:JFJ721154 IVC721154:IVN721154 ILG721154:ILR721154 IBK721154:IBV721154 HRO721154:HRZ721154 HHS721154:HID721154 GXW721154:GYH721154 GOA721154:GOL721154 GEE721154:GEP721154 FUI721154:FUT721154 FKM721154:FKX721154 FAQ721154:FBB721154 EQU721154:ERF721154 EGY721154:EHJ721154 DXC721154:DXN721154 DNG721154:DNR721154 DDK721154:DDV721154 CTO721154:CTZ721154 CJS721154:CKD721154 BZW721154:CAH721154 BQA721154:BQL721154 BGE721154:BGP721154 AWI721154:AWT721154 AMM721154:AMX721154 ACQ721154:ADB721154 SU721154:TF721154 IY721154:JJ721154 F721154:N721154 WVK655618:WVV655618 WLO655618:WLZ655618 WBS655618:WCD655618 VRW655618:VSH655618 VIA655618:VIL655618 UYE655618:UYP655618 UOI655618:UOT655618 UEM655618:UEX655618 TUQ655618:TVB655618 TKU655618:TLF655618 TAY655618:TBJ655618 SRC655618:SRN655618 SHG655618:SHR655618 RXK655618:RXV655618 RNO655618:RNZ655618 RDS655618:RED655618 QTW655618:QUH655618 QKA655618:QKL655618 QAE655618:QAP655618 PQI655618:PQT655618 PGM655618:PGX655618 OWQ655618:OXB655618 OMU655618:ONF655618 OCY655618:ODJ655618 NTC655618:NTN655618 NJG655618:NJR655618 MZK655618:MZV655618 MPO655618:MPZ655618 MFS655618:MGD655618 LVW655618:LWH655618 LMA655618:LML655618 LCE655618:LCP655618 KSI655618:KST655618 KIM655618:KIX655618 JYQ655618:JZB655618 JOU655618:JPF655618 JEY655618:JFJ655618 IVC655618:IVN655618 ILG655618:ILR655618 IBK655618:IBV655618 HRO655618:HRZ655618 HHS655618:HID655618 GXW655618:GYH655618 GOA655618:GOL655618 GEE655618:GEP655618 FUI655618:FUT655618 FKM655618:FKX655618 FAQ655618:FBB655618 EQU655618:ERF655618 EGY655618:EHJ655618 DXC655618:DXN655618 DNG655618:DNR655618 DDK655618:DDV655618 CTO655618:CTZ655618 CJS655618:CKD655618 BZW655618:CAH655618 BQA655618:BQL655618 BGE655618:BGP655618 AWI655618:AWT655618 AMM655618:AMX655618 ACQ655618:ADB655618 SU655618:TF655618 IY655618:JJ655618 F655618:N655618 WVK590082:WVV590082 WLO590082:WLZ590082 WBS590082:WCD590082 VRW590082:VSH590082 VIA590082:VIL590082 UYE590082:UYP590082 UOI590082:UOT590082 UEM590082:UEX590082 TUQ590082:TVB590082 TKU590082:TLF590082 TAY590082:TBJ590082 SRC590082:SRN590082 SHG590082:SHR590082 RXK590082:RXV590082 RNO590082:RNZ590082 RDS590082:RED590082 QTW590082:QUH590082 QKA590082:QKL590082 QAE590082:QAP590082 PQI590082:PQT590082 PGM590082:PGX590082 OWQ590082:OXB590082 OMU590082:ONF590082 OCY590082:ODJ590082 NTC590082:NTN590082 NJG590082:NJR590082 MZK590082:MZV590082 MPO590082:MPZ590082 MFS590082:MGD590082 LVW590082:LWH590082 LMA590082:LML590082 LCE590082:LCP590082 KSI590082:KST590082 KIM590082:KIX590082 JYQ590082:JZB590082 JOU590082:JPF590082 JEY590082:JFJ590082 IVC590082:IVN590082 ILG590082:ILR590082 IBK590082:IBV590082 HRO590082:HRZ590082 HHS590082:HID590082 GXW590082:GYH590082 GOA590082:GOL590082 GEE590082:GEP590082 FUI590082:FUT590082 FKM590082:FKX590082 FAQ590082:FBB590082 EQU590082:ERF590082 EGY590082:EHJ590082 DXC590082:DXN590082 DNG590082:DNR590082 DDK590082:DDV590082 CTO590082:CTZ590082 CJS590082:CKD590082 BZW590082:CAH590082 BQA590082:BQL590082 BGE590082:BGP590082 AWI590082:AWT590082 AMM590082:AMX590082 ACQ590082:ADB590082 SU590082:TF590082 IY590082:JJ590082 F590082:N590082 WVK524546:WVV524546 WLO524546:WLZ524546 WBS524546:WCD524546 VRW524546:VSH524546 VIA524546:VIL524546 UYE524546:UYP524546 UOI524546:UOT524546 UEM524546:UEX524546 TUQ524546:TVB524546 TKU524546:TLF524546 TAY524546:TBJ524546 SRC524546:SRN524546 SHG524546:SHR524546 RXK524546:RXV524546 RNO524546:RNZ524546 RDS524546:RED524546 QTW524546:QUH524546 QKA524546:QKL524546 QAE524546:QAP524546 PQI524546:PQT524546 PGM524546:PGX524546 OWQ524546:OXB524546 OMU524546:ONF524546 OCY524546:ODJ524546 NTC524546:NTN524546 NJG524546:NJR524546 MZK524546:MZV524546 MPO524546:MPZ524546 MFS524546:MGD524546 LVW524546:LWH524546 LMA524546:LML524546 LCE524546:LCP524546 KSI524546:KST524546 KIM524546:KIX524546 JYQ524546:JZB524546 JOU524546:JPF524546 JEY524546:JFJ524546 IVC524546:IVN524546 ILG524546:ILR524546 IBK524546:IBV524546 HRO524546:HRZ524546 HHS524546:HID524546 GXW524546:GYH524546 GOA524546:GOL524546 GEE524546:GEP524546 FUI524546:FUT524546 FKM524546:FKX524546 FAQ524546:FBB524546 EQU524546:ERF524546 EGY524546:EHJ524546 DXC524546:DXN524546 DNG524546:DNR524546 DDK524546:DDV524546 CTO524546:CTZ524546 CJS524546:CKD524546 BZW524546:CAH524546 BQA524546:BQL524546 BGE524546:BGP524546 AWI524546:AWT524546 AMM524546:AMX524546 ACQ524546:ADB524546 SU524546:TF524546 IY524546:JJ524546 F524546:N524546 WVK459010:WVV459010 WLO459010:WLZ459010 WBS459010:WCD459010 VRW459010:VSH459010 VIA459010:VIL459010 UYE459010:UYP459010 UOI459010:UOT459010 UEM459010:UEX459010 TUQ459010:TVB459010 TKU459010:TLF459010 TAY459010:TBJ459010 SRC459010:SRN459010 SHG459010:SHR459010 RXK459010:RXV459010 RNO459010:RNZ459010 RDS459010:RED459010 QTW459010:QUH459010 QKA459010:QKL459010 QAE459010:QAP459010 PQI459010:PQT459010 PGM459010:PGX459010 OWQ459010:OXB459010 OMU459010:ONF459010 OCY459010:ODJ459010 NTC459010:NTN459010 NJG459010:NJR459010 MZK459010:MZV459010 MPO459010:MPZ459010 MFS459010:MGD459010 LVW459010:LWH459010 LMA459010:LML459010 LCE459010:LCP459010 KSI459010:KST459010 KIM459010:KIX459010 JYQ459010:JZB459010 JOU459010:JPF459010 JEY459010:JFJ459010 IVC459010:IVN459010 ILG459010:ILR459010 IBK459010:IBV459010 HRO459010:HRZ459010 HHS459010:HID459010 GXW459010:GYH459010 GOA459010:GOL459010 GEE459010:GEP459010 FUI459010:FUT459010 FKM459010:FKX459010 FAQ459010:FBB459010 EQU459010:ERF459010 EGY459010:EHJ459010 DXC459010:DXN459010 DNG459010:DNR459010 DDK459010:DDV459010 CTO459010:CTZ459010 CJS459010:CKD459010 BZW459010:CAH459010 BQA459010:BQL459010 BGE459010:BGP459010 AWI459010:AWT459010 AMM459010:AMX459010 ACQ459010:ADB459010 SU459010:TF459010 IY459010:JJ459010 F459010:N459010 WVK393474:WVV393474 WLO393474:WLZ393474 WBS393474:WCD393474 VRW393474:VSH393474 VIA393474:VIL393474 UYE393474:UYP393474 UOI393474:UOT393474 UEM393474:UEX393474 TUQ393474:TVB393474 TKU393474:TLF393474 TAY393474:TBJ393474 SRC393474:SRN393474 SHG393474:SHR393474 RXK393474:RXV393474 RNO393474:RNZ393474 RDS393474:RED393474 QTW393474:QUH393474 QKA393474:QKL393474 QAE393474:QAP393474 PQI393474:PQT393474 PGM393474:PGX393474 OWQ393474:OXB393474 OMU393474:ONF393474 OCY393474:ODJ393474 NTC393474:NTN393474 NJG393474:NJR393474 MZK393474:MZV393474 MPO393474:MPZ393474 MFS393474:MGD393474 LVW393474:LWH393474 LMA393474:LML393474 LCE393474:LCP393474 KSI393474:KST393474 KIM393474:KIX393474 JYQ393474:JZB393474 JOU393474:JPF393474 JEY393474:JFJ393474 IVC393474:IVN393474 ILG393474:ILR393474 IBK393474:IBV393474 HRO393474:HRZ393474 HHS393474:HID393474 GXW393474:GYH393474 GOA393474:GOL393474 GEE393474:GEP393474 FUI393474:FUT393474 FKM393474:FKX393474 FAQ393474:FBB393474 EQU393474:ERF393474 EGY393474:EHJ393474 DXC393474:DXN393474 DNG393474:DNR393474 DDK393474:DDV393474 CTO393474:CTZ393474 CJS393474:CKD393474 BZW393474:CAH393474 BQA393474:BQL393474 BGE393474:BGP393474 AWI393474:AWT393474 AMM393474:AMX393474 ACQ393474:ADB393474 SU393474:TF393474 IY393474:JJ393474 F393474:N393474 WVK327938:WVV327938 WLO327938:WLZ327938 WBS327938:WCD327938 VRW327938:VSH327938 VIA327938:VIL327938 UYE327938:UYP327938 UOI327938:UOT327938 UEM327938:UEX327938 TUQ327938:TVB327938 TKU327938:TLF327938 TAY327938:TBJ327938 SRC327938:SRN327938 SHG327938:SHR327938 RXK327938:RXV327938 RNO327938:RNZ327938 RDS327938:RED327938 QTW327938:QUH327938 QKA327938:QKL327938 QAE327938:QAP327938 PQI327938:PQT327938 PGM327938:PGX327938 OWQ327938:OXB327938 OMU327938:ONF327938 OCY327938:ODJ327938 NTC327938:NTN327938 NJG327938:NJR327938 MZK327938:MZV327938 MPO327938:MPZ327938 MFS327938:MGD327938 LVW327938:LWH327938 LMA327938:LML327938 LCE327938:LCP327938 KSI327938:KST327938 KIM327938:KIX327938 JYQ327938:JZB327938 JOU327938:JPF327938 JEY327938:JFJ327938 IVC327938:IVN327938 ILG327938:ILR327938 IBK327938:IBV327938 HRO327938:HRZ327938 HHS327938:HID327938 GXW327938:GYH327938 GOA327938:GOL327938 GEE327938:GEP327938 FUI327938:FUT327938 FKM327938:FKX327938 FAQ327938:FBB327938 EQU327938:ERF327938 EGY327938:EHJ327938 DXC327938:DXN327938 DNG327938:DNR327938 DDK327938:DDV327938 CTO327938:CTZ327938 CJS327938:CKD327938 BZW327938:CAH327938 BQA327938:BQL327938 BGE327938:BGP327938 AWI327938:AWT327938 AMM327938:AMX327938 ACQ327938:ADB327938 SU327938:TF327938 IY327938:JJ327938 F327938:N327938 WVK262402:WVV262402 WLO262402:WLZ262402 WBS262402:WCD262402 VRW262402:VSH262402 VIA262402:VIL262402 UYE262402:UYP262402 UOI262402:UOT262402 UEM262402:UEX262402 TUQ262402:TVB262402 TKU262402:TLF262402 TAY262402:TBJ262402 SRC262402:SRN262402 SHG262402:SHR262402 RXK262402:RXV262402 RNO262402:RNZ262402 RDS262402:RED262402 QTW262402:QUH262402 QKA262402:QKL262402 QAE262402:QAP262402 PQI262402:PQT262402 PGM262402:PGX262402 OWQ262402:OXB262402 OMU262402:ONF262402 OCY262402:ODJ262402 NTC262402:NTN262402 NJG262402:NJR262402 MZK262402:MZV262402 MPO262402:MPZ262402 MFS262402:MGD262402 LVW262402:LWH262402 LMA262402:LML262402 LCE262402:LCP262402 KSI262402:KST262402 KIM262402:KIX262402 JYQ262402:JZB262402 JOU262402:JPF262402 JEY262402:JFJ262402 IVC262402:IVN262402 ILG262402:ILR262402 IBK262402:IBV262402 HRO262402:HRZ262402 HHS262402:HID262402 GXW262402:GYH262402 GOA262402:GOL262402 GEE262402:GEP262402 FUI262402:FUT262402 FKM262402:FKX262402 FAQ262402:FBB262402 EQU262402:ERF262402 EGY262402:EHJ262402 DXC262402:DXN262402 DNG262402:DNR262402 DDK262402:DDV262402 CTO262402:CTZ262402 CJS262402:CKD262402 BZW262402:CAH262402 BQA262402:BQL262402 BGE262402:BGP262402 AWI262402:AWT262402 AMM262402:AMX262402 ACQ262402:ADB262402 SU262402:TF262402 IY262402:JJ262402 F262402:N262402 WVK196866:WVV196866 WLO196866:WLZ196866 WBS196866:WCD196866 VRW196866:VSH196866 VIA196866:VIL196866 UYE196866:UYP196866 UOI196866:UOT196866 UEM196866:UEX196866 TUQ196866:TVB196866 TKU196866:TLF196866 TAY196866:TBJ196866 SRC196866:SRN196866 SHG196866:SHR196866 RXK196866:RXV196866 RNO196866:RNZ196866 RDS196866:RED196866 QTW196866:QUH196866 QKA196866:QKL196866 QAE196866:QAP196866 PQI196866:PQT196866 PGM196866:PGX196866 OWQ196866:OXB196866 OMU196866:ONF196866 OCY196866:ODJ196866 NTC196866:NTN196866 NJG196866:NJR196866 MZK196866:MZV196866 MPO196866:MPZ196866 MFS196866:MGD196866 LVW196866:LWH196866 LMA196866:LML196866 LCE196866:LCP196866 KSI196866:KST196866 KIM196866:KIX196866 JYQ196866:JZB196866 JOU196866:JPF196866 JEY196866:JFJ196866 IVC196866:IVN196866 ILG196866:ILR196866 IBK196866:IBV196866 HRO196866:HRZ196866 HHS196866:HID196866 GXW196866:GYH196866 GOA196866:GOL196866 GEE196866:GEP196866 FUI196866:FUT196866 FKM196866:FKX196866 FAQ196866:FBB196866 EQU196866:ERF196866 EGY196866:EHJ196866 DXC196866:DXN196866 DNG196866:DNR196866 DDK196866:DDV196866 CTO196866:CTZ196866 CJS196866:CKD196866 BZW196866:CAH196866 BQA196866:BQL196866 BGE196866:BGP196866 AWI196866:AWT196866 AMM196866:AMX196866 ACQ196866:ADB196866 SU196866:TF196866 IY196866:JJ196866 F196866:N196866 WVK131330:WVV131330 WLO131330:WLZ131330 WBS131330:WCD131330 VRW131330:VSH131330 VIA131330:VIL131330 UYE131330:UYP131330 UOI131330:UOT131330 UEM131330:UEX131330 TUQ131330:TVB131330 TKU131330:TLF131330 TAY131330:TBJ131330 SRC131330:SRN131330 SHG131330:SHR131330 RXK131330:RXV131330 RNO131330:RNZ131330 RDS131330:RED131330 QTW131330:QUH131330 QKA131330:QKL131330 QAE131330:QAP131330 PQI131330:PQT131330 PGM131330:PGX131330 OWQ131330:OXB131330 OMU131330:ONF131330 OCY131330:ODJ131330 NTC131330:NTN131330 NJG131330:NJR131330 MZK131330:MZV131330 MPO131330:MPZ131330 MFS131330:MGD131330 LVW131330:LWH131330 LMA131330:LML131330 LCE131330:LCP131330 KSI131330:KST131330 KIM131330:KIX131330 JYQ131330:JZB131330 JOU131330:JPF131330 JEY131330:JFJ131330 IVC131330:IVN131330 ILG131330:ILR131330 IBK131330:IBV131330 HRO131330:HRZ131330 HHS131330:HID131330 GXW131330:GYH131330 GOA131330:GOL131330 GEE131330:GEP131330 FUI131330:FUT131330 FKM131330:FKX131330 FAQ131330:FBB131330 EQU131330:ERF131330 EGY131330:EHJ131330 DXC131330:DXN131330 DNG131330:DNR131330 DDK131330:DDV131330 CTO131330:CTZ131330 CJS131330:CKD131330 BZW131330:CAH131330 BQA131330:BQL131330 BGE131330:BGP131330 AWI131330:AWT131330 AMM131330:AMX131330 ACQ131330:ADB131330 SU131330:TF131330 IY131330:JJ131330 F131330:N131330 WVK65794:WVV65794 WLO65794:WLZ65794 WBS65794:WCD65794 VRW65794:VSH65794 VIA65794:VIL65794 UYE65794:UYP65794 UOI65794:UOT65794 UEM65794:UEX65794 TUQ65794:TVB65794 TKU65794:TLF65794 TAY65794:TBJ65794 SRC65794:SRN65794 SHG65794:SHR65794 RXK65794:RXV65794 RNO65794:RNZ65794 RDS65794:RED65794 QTW65794:QUH65794 QKA65794:QKL65794 QAE65794:QAP65794 PQI65794:PQT65794 PGM65794:PGX65794 OWQ65794:OXB65794 OMU65794:ONF65794 OCY65794:ODJ65794 NTC65794:NTN65794 NJG65794:NJR65794 MZK65794:MZV65794 MPO65794:MPZ65794 MFS65794:MGD65794 LVW65794:LWH65794 LMA65794:LML65794 LCE65794:LCP65794 KSI65794:KST65794 KIM65794:KIX65794 JYQ65794:JZB65794 JOU65794:JPF65794 JEY65794:JFJ65794 IVC65794:IVN65794 ILG65794:ILR65794 IBK65794:IBV65794 HRO65794:HRZ65794 HHS65794:HID65794 GXW65794:GYH65794 GOA65794:GOL65794 GEE65794:GEP65794 FUI65794:FUT65794 FKM65794:FKX65794 FAQ65794:FBB65794 EQU65794:ERF65794 EGY65794:EHJ65794 DXC65794:DXN65794 DNG65794:DNR65794 DDK65794:DDV65794 CTO65794:CTZ65794 CJS65794:CKD65794 BZW65794:CAH65794 BQA65794:BQL65794 BGE65794:BGP65794 AWI65794:AWT65794 AMM65794:AMX65794 ACQ65794:ADB65794 SU65794:TF65794 IY65794:JJ65794 F65794:N65794 WVK254:WVV254 WLO254:WLZ254 WBS254:WCD254 VRW254:VSH254 VIA254:VIL254 UYE254:UYP254 UOI254:UOT254 UEM254:UEX254 TUQ254:TVB254 TKU254:TLF254 TAY254:TBJ254 SRC254:SRN254 SHG254:SHR254 RXK254:RXV254 RNO254:RNZ254 RDS254:RED254 QTW254:QUH254 QKA254:QKL254 QAE254:QAP254 PQI254:PQT254 PGM254:PGX254 OWQ254:OXB254 OMU254:ONF254 OCY254:ODJ254 NTC254:NTN254 NJG254:NJR254 MZK254:MZV254 MPO254:MPZ254 MFS254:MGD254 LVW254:LWH254 LMA254:LML254 LCE254:LCP254 KSI254:KST254 KIM254:KIX254 JYQ254:JZB254 JOU254:JPF254 JEY254:JFJ254 IVC254:IVN254 ILG254:ILR254 IBK254:IBV254 HRO254:HRZ254 HHS254:HID254 GXW254:GYH254 GOA254:GOL254 GEE254:GEP254 FUI254:FUT254 FKM254:FKX254 FAQ254:FBB254 EQU254:ERF254 EGY254:EHJ254 DXC254:DXN254 DNG254:DNR254 DDK254:DDV254 CTO254:CTZ254 CJS254:CKD254 BZW254:CAH254 BQA254:BQL254 BGE254:BGP254 AWI254:AWT254 AMM254:AMX254 ACQ254:ADB254 SU254:TF254 F254:N254">
      <formula1>$AL$1:$AL$1</formula1>
    </dataValidation>
    <dataValidation type="list" allowBlank="1" showInputMessage="1" showErrorMessage="1" sqref="IY236:JJ236 WVK983280:WVV983280 WLO983280:WLZ983280 WBS983280:WCD983280 VRW983280:VSH983280 VIA983280:VIL983280 UYE983280:UYP983280 UOI983280:UOT983280 UEM983280:UEX983280 TUQ983280:TVB983280 TKU983280:TLF983280 TAY983280:TBJ983280 SRC983280:SRN983280 SHG983280:SHR983280 RXK983280:RXV983280 RNO983280:RNZ983280 RDS983280:RED983280 QTW983280:QUH983280 QKA983280:QKL983280 QAE983280:QAP983280 PQI983280:PQT983280 PGM983280:PGX983280 OWQ983280:OXB983280 OMU983280:ONF983280 OCY983280:ODJ983280 NTC983280:NTN983280 NJG983280:NJR983280 MZK983280:MZV983280 MPO983280:MPZ983280 MFS983280:MGD983280 LVW983280:LWH983280 LMA983280:LML983280 LCE983280:LCP983280 KSI983280:KST983280 KIM983280:KIX983280 JYQ983280:JZB983280 JOU983280:JPF983280 JEY983280:JFJ983280 IVC983280:IVN983280 ILG983280:ILR983280 IBK983280:IBV983280 HRO983280:HRZ983280 HHS983280:HID983280 GXW983280:GYH983280 GOA983280:GOL983280 GEE983280:GEP983280 FUI983280:FUT983280 FKM983280:FKX983280 FAQ983280:FBB983280 EQU983280:ERF983280 EGY983280:EHJ983280 DXC983280:DXN983280 DNG983280:DNR983280 DDK983280:DDV983280 CTO983280:CTZ983280 CJS983280:CKD983280 BZW983280:CAH983280 BQA983280:BQL983280 BGE983280:BGP983280 AWI983280:AWT983280 AMM983280:AMX983280 ACQ983280:ADB983280 SU983280:TF983280 IY983280:JJ983280 F983280:N983280 WVK917744:WVV917744 WLO917744:WLZ917744 WBS917744:WCD917744 VRW917744:VSH917744 VIA917744:VIL917744 UYE917744:UYP917744 UOI917744:UOT917744 UEM917744:UEX917744 TUQ917744:TVB917744 TKU917744:TLF917744 TAY917744:TBJ917744 SRC917744:SRN917744 SHG917744:SHR917744 RXK917744:RXV917744 RNO917744:RNZ917744 RDS917744:RED917744 QTW917744:QUH917744 QKA917744:QKL917744 QAE917744:QAP917744 PQI917744:PQT917744 PGM917744:PGX917744 OWQ917744:OXB917744 OMU917744:ONF917744 OCY917744:ODJ917744 NTC917744:NTN917744 NJG917744:NJR917744 MZK917744:MZV917744 MPO917744:MPZ917744 MFS917744:MGD917744 LVW917744:LWH917744 LMA917744:LML917744 LCE917744:LCP917744 KSI917744:KST917744 KIM917744:KIX917744 JYQ917744:JZB917744 JOU917744:JPF917744 JEY917744:JFJ917744 IVC917744:IVN917744 ILG917744:ILR917744 IBK917744:IBV917744 HRO917744:HRZ917744 HHS917744:HID917744 GXW917744:GYH917744 GOA917744:GOL917744 GEE917744:GEP917744 FUI917744:FUT917744 FKM917744:FKX917744 FAQ917744:FBB917744 EQU917744:ERF917744 EGY917744:EHJ917744 DXC917744:DXN917744 DNG917744:DNR917744 DDK917744:DDV917744 CTO917744:CTZ917744 CJS917744:CKD917744 BZW917744:CAH917744 BQA917744:BQL917744 BGE917744:BGP917744 AWI917744:AWT917744 AMM917744:AMX917744 ACQ917744:ADB917744 SU917744:TF917744 IY917744:JJ917744 F917744:N917744 WVK852208:WVV852208 WLO852208:WLZ852208 WBS852208:WCD852208 VRW852208:VSH852208 VIA852208:VIL852208 UYE852208:UYP852208 UOI852208:UOT852208 UEM852208:UEX852208 TUQ852208:TVB852208 TKU852208:TLF852208 TAY852208:TBJ852208 SRC852208:SRN852208 SHG852208:SHR852208 RXK852208:RXV852208 RNO852208:RNZ852208 RDS852208:RED852208 QTW852208:QUH852208 QKA852208:QKL852208 QAE852208:QAP852208 PQI852208:PQT852208 PGM852208:PGX852208 OWQ852208:OXB852208 OMU852208:ONF852208 OCY852208:ODJ852208 NTC852208:NTN852208 NJG852208:NJR852208 MZK852208:MZV852208 MPO852208:MPZ852208 MFS852208:MGD852208 LVW852208:LWH852208 LMA852208:LML852208 LCE852208:LCP852208 KSI852208:KST852208 KIM852208:KIX852208 JYQ852208:JZB852208 JOU852208:JPF852208 JEY852208:JFJ852208 IVC852208:IVN852208 ILG852208:ILR852208 IBK852208:IBV852208 HRO852208:HRZ852208 HHS852208:HID852208 GXW852208:GYH852208 GOA852208:GOL852208 GEE852208:GEP852208 FUI852208:FUT852208 FKM852208:FKX852208 FAQ852208:FBB852208 EQU852208:ERF852208 EGY852208:EHJ852208 DXC852208:DXN852208 DNG852208:DNR852208 DDK852208:DDV852208 CTO852208:CTZ852208 CJS852208:CKD852208 BZW852208:CAH852208 BQA852208:BQL852208 BGE852208:BGP852208 AWI852208:AWT852208 AMM852208:AMX852208 ACQ852208:ADB852208 SU852208:TF852208 IY852208:JJ852208 F852208:N852208 WVK786672:WVV786672 WLO786672:WLZ786672 WBS786672:WCD786672 VRW786672:VSH786672 VIA786672:VIL786672 UYE786672:UYP786672 UOI786672:UOT786672 UEM786672:UEX786672 TUQ786672:TVB786672 TKU786672:TLF786672 TAY786672:TBJ786672 SRC786672:SRN786672 SHG786672:SHR786672 RXK786672:RXV786672 RNO786672:RNZ786672 RDS786672:RED786672 QTW786672:QUH786672 QKA786672:QKL786672 QAE786672:QAP786672 PQI786672:PQT786672 PGM786672:PGX786672 OWQ786672:OXB786672 OMU786672:ONF786672 OCY786672:ODJ786672 NTC786672:NTN786672 NJG786672:NJR786672 MZK786672:MZV786672 MPO786672:MPZ786672 MFS786672:MGD786672 LVW786672:LWH786672 LMA786672:LML786672 LCE786672:LCP786672 KSI786672:KST786672 KIM786672:KIX786672 JYQ786672:JZB786672 JOU786672:JPF786672 JEY786672:JFJ786672 IVC786672:IVN786672 ILG786672:ILR786672 IBK786672:IBV786672 HRO786672:HRZ786672 HHS786672:HID786672 GXW786672:GYH786672 GOA786672:GOL786672 GEE786672:GEP786672 FUI786672:FUT786672 FKM786672:FKX786672 FAQ786672:FBB786672 EQU786672:ERF786672 EGY786672:EHJ786672 DXC786672:DXN786672 DNG786672:DNR786672 DDK786672:DDV786672 CTO786672:CTZ786672 CJS786672:CKD786672 BZW786672:CAH786672 BQA786672:BQL786672 BGE786672:BGP786672 AWI786672:AWT786672 AMM786672:AMX786672 ACQ786672:ADB786672 SU786672:TF786672 IY786672:JJ786672 F786672:N786672 WVK721136:WVV721136 WLO721136:WLZ721136 WBS721136:WCD721136 VRW721136:VSH721136 VIA721136:VIL721136 UYE721136:UYP721136 UOI721136:UOT721136 UEM721136:UEX721136 TUQ721136:TVB721136 TKU721136:TLF721136 TAY721136:TBJ721136 SRC721136:SRN721136 SHG721136:SHR721136 RXK721136:RXV721136 RNO721136:RNZ721136 RDS721136:RED721136 QTW721136:QUH721136 QKA721136:QKL721136 QAE721136:QAP721136 PQI721136:PQT721136 PGM721136:PGX721136 OWQ721136:OXB721136 OMU721136:ONF721136 OCY721136:ODJ721136 NTC721136:NTN721136 NJG721136:NJR721136 MZK721136:MZV721136 MPO721136:MPZ721136 MFS721136:MGD721136 LVW721136:LWH721136 LMA721136:LML721136 LCE721136:LCP721136 KSI721136:KST721136 KIM721136:KIX721136 JYQ721136:JZB721136 JOU721136:JPF721136 JEY721136:JFJ721136 IVC721136:IVN721136 ILG721136:ILR721136 IBK721136:IBV721136 HRO721136:HRZ721136 HHS721136:HID721136 GXW721136:GYH721136 GOA721136:GOL721136 GEE721136:GEP721136 FUI721136:FUT721136 FKM721136:FKX721136 FAQ721136:FBB721136 EQU721136:ERF721136 EGY721136:EHJ721136 DXC721136:DXN721136 DNG721136:DNR721136 DDK721136:DDV721136 CTO721136:CTZ721136 CJS721136:CKD721136 BZW721136:CAH721136 BQA721136:BQL721136 BGE721136:BGP721136 AWI721136:AWT721136 AMM721136:AMX721136 ACQ721136:ADB721136 SU721136:TF721136 IY721136:JJ721136 F721136:N721136 WVK655600:WVV655600 WLO655600:WLZ655600 WBS655600:WCD655600 VRW655600:VSH655600 VIA655600:VIL655600 UYE655600:UYP655600 UOI655600:UOT655600 UEM655600:UEX655600 TUQ655600:TVB655600 TKU655600:TLF655600 TAY655600:TBJ655600 SRC655600:SRN655600 SHG655600:SHR655600 RXK655600:RXV655600 RNO655600:RNZ655600 RDS655600:RED655600 QTW655600:QUH655600 QKA655600:QKL655600 QAE655600:QAP655600 PQI655600:PQT655600 PGM655600:PGX655600 OWQ655600:OXB655600 OMU655600:ONF655600 OCY655600:ODJ655600 NTC655600:NTN655600 NJG655600:NJR655600 MZK655600:MZV655600 MPO655600:MPZ655600 MFS655600:MGD655600 LVW655600:LWH655600 LMA655600:LML655600 LCE655600:LCP655600 KSI655600:KST655600 KIM655600:KIX655600 JYQ655600:JZB655600 JOU655600:JPF655600 JEY655600:JFJ655600 IVC655600:IVN655600 ILG655600:ILR655600 IBK655600:IBV655600 HRO655600:HRZ655600 HHS655600:HID655600 GXW655600:GYH655600 GOA655600:GOL655600 GEE655600:GEP655600 FUI655600:FUT655600 FKM655600:FKX655600 FAQ655600:FBB655600 EQU655600:ERF655600 EGY655600:EHJ655600 DXC655600:DXN655600 DNG655600:DNR655600 DDK655600:DDV655600 CTO655600:CTZ655600 CJS655600:CKD655600 BZW655600:CAH655600 BQA655600:BQL655600 BGE655600:BGP655600 AWI655600:AWT655600 AMM655600:AMX655600 ACQ655600:ADB655600 SU655600:TF655600 IY655600:JJ655600 F655600:N655600 WVK590064:WVV590064 WLO590064:WLZ590064 WBS590064:WCD590064 VRW590064:VSH590064 VIA590064:VIL590064 UYE590064:UYP590064 UOI590064:UOT590064 UEM590064:UEX590064 TUQ590064:TVB590064 TKU590064:TLF590064 TAY590064:TBJ590064 SRC590064:SRN590064 SHG590064:SHR590064 RXK590064:RXV590064 RNO590064:RNZ590064 RDS590064:RED590064 QTW590064:QUH590064 QKA590064:QKL590064 QAE590064:QAP590064 PQI590064:PQT590064 PGM590064:PGX590064 OWQ590064:OXB590064 OMU590064:ONF590064 OCY590064:ODJ590064 NTC590064:NTN590064 NJG590064:NJR590064 MZK590064:MZV590064 MPO590064:MPZ590064 MFS590064:MGD590064 LVW590064:LWH590064 LMA590064:LML590064 LCE590064:LCP590064 KSI590064:KST590064 KIM590064:KIX590064 JYQ590064:JZB590064 JOU590064:JPF590064 JEY590064:JFJ590064 IVC590064:IVN590064 ILG590064:ILR590064 IBK590064:IBV590064 HRO590064:HRZ590064 HHS590064:HID590064 GXW590064:GYH590064 GOA590064:GOL590064 GEE590064:GEP590064 FUI590064:FUT590064 FKM590064:FKX590064 FAQ590064:FBB590064 EQU590064:ERF590064 EGY590064:EHJ590064 DXC590064:DXN590064 DNG590064:DNR590064 DDK590064:DDV590064 CTO590064:CTZ590064 CJS590064:CKD590064 BZW590064:CAH590064 BQA590064:BQL590064 BGE590064:BGP590064 AWI590064:AWT590064 AMM590064:AMX590064 ACQ590064:ADB590064 SU590064:TF590064 IY590064:JJ590064 F590064:N590064 WVK524528:WVV524528 WLO524528:WLZ524528 WBS524528:WCD524528 VRW524528:VSH524528 VIA524528:VIL524528 UYE524528:UYP524528 UOI524528:UOT524528 UEM524528:UEX524528 TUQ524528:TVB524528 TKU524528:TLF524528 TAY524528:TBJ524528 SRC524528:SRN524528 SHG524528:SHR524528 RXK524528:RXV524528 RNO524528:RNZ524528 RDS524528:RED524528 QTW524528:QUH524528 QKA524528:QKL524528 QAE524528:QAP524528 PQI524528:PQT524528 PGM524528:PGX524528 OWQ524528:OXB524528 OMU524528:ONF524528 OCY524528:ODJ524528 NTC524528:NTN524528 NJG524528:NJR524528 MZK524528:MZV524528 MPO524528:MPZ524528 MFS524528:MGD524528 LVW524528:LWH524528 LMA524528:LML524528 LCE524528:LCP524528 KSI524528:KST524528 KIM524528:KIX524528 JYQ524528:JZB524528 JOU524528:JPF524528 JEY524528:JFJ524528 IVC524528:IVN524528 ILG524528:ILR524528 IBK524528:IBV524528 HRO524528:HRZ524528 HHS524528:HID524528 GXW524528:GYH524528 GOA524528:GOL524528 GEE524528:GEP524528 FUI524528:FUT524528 FKM524528:FKX524528 FAQ524528:FBB524528 EQU524528:ERF524528 EGY524528:EHJ524528 DXC524528:DXN524528 DNG524528:DNR524528 DDK524528:DDV524528 CTO524528:CTZ524528 CJS524528:CKD524528 BZW524528:CAH524528 BQA524528:BQL524528 BGE524528:BGP524528 AWI524528:AWT524528 AMM524528:AMX524528 ACQ524528:ADB524528 SU524528:TF524528 IY524528:JJ524528 F524528:N524528 WVK458992:WVV458992 WLO458992:WLZ458992 WBS458992:WCD458992 VRW458992:VSH458992 VIA458992:VIL458992 UYE458992:UYP458992 UOI458992:UOT458992 UEM458992:UEX458992 TUQ458992:TVB458992 TKU458992:TLF458992 TAY458992:TBJ458992 SRC458992:SRN458992 SHG458992:SHR458992 RXK458992:RXV458992 RNO458992:RNZ458992 RDS458992:RED458992 QTW458992:QUH458992 QKA458992:QKL458992 QAE458992:QAP458992 PQI458992:PQT458992 PGM458992:PGX458992 OWQ458992:OXB458992 OMU458992:ONF458992 OCY458992:ODJ458992 NTC458992:NTN458992 NJG458992:NJR458992 MZK458992:MZV458992 MPO458992:MPZ458992 MFS458992:MGD458992 LVW458992:LWH458992 LMA458992:LML458992 LCE458992:LCP458992 KSI458992:KST458992 KIM458992:KIX458992 JYQ458992:JZB458992 JOU458992:JPF458992 JEY458992:JFJ458992 IVC458992:IVN458992 ILG458992:ILR458992 IBK458992:IBV458992 HRO458992:HRZ458992 HHS458992:HID458992 GXW458992:GYH458992 GOA458992:GOL458992 GEE458992:GEP458992 FUI458992:FUT458992 FKM458992:FKX458992 FAQ458992:FBB458992 EQU458992:ERF458992 EGY458992:EHJ458992 DXC458992:DXN458992 DNG458992:DNR458992 DDK458992:DDV458992 CTO458992:CTZ458992 CJS458992:CKD458992 BZW458992:CAH458992 BQA458992:BQL458992 BGE458992:BGP458992 AWI458992:AWT458992 AMM458992:AMX458992 ACQ458992:ADB458992 SU458992:TF458992 IY458992:JJ458992 F458992:N458992 WVK393456:WVV393456 WLO393456:WLZ393456 WBS393456:WCD393456 VRW393456:VSH393456 VIA393456:VIL393456 UYE393456:UYP393456 UOI393456:UOT393456 UEM393456:UEX393456 TUQ393456:TVB393456 TKU393456:TLF393456 TAY393456:TBJ393456 SRC393456:SRN393456 SHG393456:SHR393456 RXK393456:RXV393456 RNO393456:RNZ393456 RDS393456:RED393456 QTW393456:QUH393456 QKA393456:QKL393456 QAE393456:QAP393456 PQI393456:PQT393456 PGM393456:PGX393456 OWQ393456:OXB393456 OMU393456:ONF393456 OCY393456:ODJ393456 NTC393456:NTN393456 NJG393456:NJR393456 MZK393456:MZV393456 MPO393456:MPZ393456 MFS393456:MGD393456 LVW393456:LWH393456 LMA393456:LML393456 LCE393456:LCP393456 KSI393456:KST393456 KIM393456:KIX393456 JYQ393456:JZB393456 JOU393456:JPF393456 JEY393456:JFJ393456 IVC393456:IVN393456 ILG393456:ILR393456 IBK393456:IBV393456 HRO393456:HRZ393456 HHS393456:HID393456 GXW393456:GYH393456 GOA393456:GOL393456 GEE393456:GEP393456 FUI393456:FUT393456 FKM393456:FKX393456 FAQ393456:FBB393456 EQU393456:ERF393456 EGY393456:EHJ393456 DXC393456:DXN393456 DNG393456:DNR393456 DDK393456:DDV393456 CTO393456:CTZ393456 CJS393456:CKD393456 BZW393456:CAH393456 BQA393456:BQL393456 BGE393456:BGP393456 AWI393456:AWT393456 AMM393456:AMX393456 ACQ393456:ADB393456 SU393456:TF393456 IY393456:JJ393456 F393456:N393456 WVK327920:WVV327920 WLO327920:WLZ327920 WBS327920:WCD327920 VRW327920:VSH327920 VIA327920:VIL327920 UYE327920:UYP327920 UOI327920:UOT327920 UEM327920:UEX327920 TUQ327920:TVB327920 TKU327920:TLF327920 TAY327920:TBJ327920 SRC327920:SRN327920 SHG327920:SHR327920 RXK327920:RXV327920 RNO327920:RNZ327920 RDS327920:RED327920 QTW327920:QUH327920 QKA327920:QKL327920 QAE327920:QAP327920 PQI327920:PQT327920 PGM327920:PGX327920 OWQ327920:OXB327920 OMU327920:ONF327920 OCY327920:ODJ327920 NTC327920:NTN327920 NJG327920:NJR327920 MZK327920:MZV327920 MPO327920:MPZ327920 MFS327920:MGD327920 LVW327920:LWH327920 LMA327920:LML327920 LCE327920:LCP327920 KSI327920:KST327920 KIM327920:KIX327920 JYQ327920:JZB327920 JOU327920:JPF327920 JEY327920:JFJ327920 IVC327920:IVN327920 ILG327920:ILR327920 IBK327920:IBV327920 HRO327920:HRZ327920 HHS327920:HID327920 GXW327920:GYH327920 GOA327920:GOL327920 GEE327920:GEP327920 FUI327920:FUT327920 FKM327920:FKX327920 FAQ327920:FBB327920 EQU327920:ERF327920 EGY327920:EHJ327920 DXC327920:DXN327920 DNG327920:DNR327920 DDK327920:DDV327920 CTO327920:CTZ327920 CJS327920:CKD327920 BZW327920:CAH327920 BQA327920:BQL327920 BGE327920:BGP327920 AWI327920:AWT327920 AMM327920:AMX327920 ACQ327920:ADB327920 SU327920:TF327920 IY327920:JJ327920 F327920:N327920 WVK262384:WVV262384 WLO262384:WLZ262384 WBS262384:WCD262384 VRW262384:VSH262384 VIA262384:VIL262384 UYE262384:UYP262384 UOI262384:UOT262384 UEM262384:UEX262384 TUQ262384:TVB262384 TKU262384:TLF262384 TAY262384:TBJ262384 SRC262384:SRN262384 SHG262384:SHR262384 RXK262384:RXV262384 RNO262384:RNZ262384 RDS262384:RED262384 QTW262384:QUH262384 QKA262384:QKL262384 QAE262384:QAP262384 PQI262384:PQT262384 PGM262384:PGX262384 OWQ262384:OXB262384 OMU262384:ONF262384 OCY262384:ODJ262384 NTC262384:NTN262384 NJG262384:NJR262384 MZK262384:MZV262384 MPO262384:MPZ262384 MFS262384:MGD262384 LVW262384:LWH262384 LMA262384:LML262384 LCE262384:LCP262384 KSI262384:KST262384 KIM262384:KIX262384 JYQ262384:JZB262384 JOU262384:JPF262384 JEY262384:JFJ262384 IVC262384:IVN262384 ILG262384:ILR262384 IBK262384:IBV262384 HRO262384:HRZ262384 HHS262384:HID262384 GXW262384:GYH262384 GOA262384:GOL262384 GEE262384:GEP262384 FUI262384:FUT262384 FKM262384:FKX262384 FAQ262384:FBB262384 EQU262384:ERF262384 EGY262384:EHJ262384 DXC262384:DXN262384 DNG262384:DNR262384 DDK262384:DDV262384 CTO262384:CTZ262384 CJS262384:CKD262384 BZW262384:CAH262384 BQA262384:BQL262384 BGE262384:BGP262384 AWI262384:AWT262384 AMM262384:AMX262384 ACQ262384:ADB262384 SU262384:TF262384 IY262384:JJ262384 F262384:N262384 WVK196848:WVV196848 WLO196848:WLZ196848 WBS196848:WCD196848 VRW196848:VSH196848 VIA196848:VIL196848 UYE196848:UYP196848 UOI196848:UOT196848 UEM196848:UEX196848 TUQ196848:TVB196848 TKU196848:TLF196848 TAY196848:TBJ196848 SRC196848:SRN196848 SHG196848:SHR196848 RXK196848:RXV196848 RNO196848:RNZ196848 RDS196848:RED196848 QTW196848:QUH196848 QKA196848:QKL196848 QAE196848:QAP196848 PQI196848:PQT196848 PGM196848:PGX196848 OWQ196848:OXB196848 OMU196848:ONF196848 OCY196848:ODJ196848 NTC196848:NTN196848 NJG196848:NJR196848 MZK196848:MZV196848 MPO196848:MPZ196848 MFS196848:MGD196848 LVW196848:LWH196848 LMA196848:LML196848 LCE196848:LCP196848 KSI196848:KST196848 KIM196848:KIX196848 JYQ196848:JZB196848 JOU196848:JPF196848 JEY196848:JFJ196848 IVC196848:IVN196848 ILG196848:ILR196848 IBK196848:IBV196848 HRO196848:HRZ196848 HHS196848:HID196848 GXW196848:GYH196848 GOA196848:GOL196848 GEE196848:GEP196848 FUI196848:FUT196848 FKM196848:FKX196848 FAQ196848:FBB196848 EQU196848:ERF196848 EGY196848:EHJ196848 DXC196848:DXN196848 DNG196848:DNR196848 DDK196848:DDV196848 CTO196848:CTZ196848 CJS196848:CKD196848 BZW196848:CAH196848 BQA196848:BQL196848 BGE196848:BGP196848 AWI196848:AWT196848 AMM196848:AMX196848 ACQ196848:ADB196848 SU196848:TF196848 IY196848:JJ196848 F196848:N196848 WVK131312:WVV131312 WLO131312:WLZ131312 WBS131312:WCD131312 VRW131312:VSH131312 VIA131312:VIL131312 UYE131312:UYP131312 UOI131312:UOT131312 UEM131312:UEX131312 TUQ131312:TVB131312 TKU131312:TLF131312 TAY131312:TBJ131312 SRC131312:SRN131312 SHG131312:SHR131312 RXK131312:RXV131312 RNO131312:RNZ131312 RDS131312:RED131312 QTW131312:QUH131312 QKA131312:QKL131312 QAE131312:QAP131312 PQI131312:PQT131312 PGM131312:PGX131312 OWQ131312:OXB131312 OMU131312:ONF131312 OCY131312:ODJ131312 NTC131312:NTN131312 NJG131312:NJR131312 MZK131312:MZV131312 MPO131312:MPZ131312 MFS131312:MGD131312 LVW131312:LWH131312 LMA131312:LML131312 LCE131312:LCP131312 KSI131312:KST131312 KIM131312:KIX131312 JYQ131312:JZB131312 JOU131312:JPF131312 JEY131312:JFJ131312 IVC131312:IVN131312 ILG131312:ILR131312 IBK131312:IBV131312 HRO131312:HRZ131312 HHS131312:HID131312 GXW131312:GYH131312 GOA131312:GOL131312 GEE131312:GEP131312 FUI131312:FUT131312 FKM131312:FKX131312 FAQ131312:FBB131312 EQU131312:ERF131312 EGY131312:EHJ131312 DXC131312:DXN131312 DNG131312:DNR131312 DDK131312:DDV131312 CTO131312:CTZ131312 CJS131312:CKD131312 BZW131312:CAH131312 BQA131312:BQL131312 BGE131312:BGP131312 AWI131312:AWT131312 AMM131312:AMX131312 ACQ131312:ADB131312 SU131312:TF131312 IY131312:JJ131312 F131312:N131312 WVK65776:WVV65776 WLO65776:WLZ65776 WBS65776:WCD65776 VRW65776:VSH65776 VIA65776:VIL65776 UYE65776:UYP65776 UOI65776:UOT65776 UEM65776:UEX65776 TUQ65776:TVB65776 TKU65776:TLF65776 TAY65776:TBJ65776 SRC65776:SRN65776 SHG65776:SHR65776 RXK65776:RXV65776 RNO65776:RNZ65776 RDS65776:RED65776 QTW65776:QUH65776 QKA65776:QKL65776 QAE65776:QAP65776 PQI65776:PQT65776 PGM65776:PGX65776 OWQ65776:OXB65776 OMU65776:ONF65776 OCY65776:ODJ65776 NTC65776:NTN65776 NJG65776:NJR65776 MZK65776:MZV65776 MPO65776:MPZ65776 MFS65776:MGD65776 LVW65776:LWH65776 LMA65776:LML65776 LCE65776:LCP65776 KSI65776:KST65776 KIM65776:KIX65776 JYQ65776:JZB65776 JOU65776:JPF65776 JEY65776:JFJ65776 IVC65776:IVN65776 ILG65776:ILR65776 IBK65776:IBV65776 HRO65776:HRZ65776 HHS65776:HID65776 GXW65776:GYH65776 GOA65776:GOL65776 GEE65776:GEP65776 FUI65776:FUT65776 FKM65776:FKX65776 FAQ65776:FBB65776 EQU65776:ERF65776 EGY65776:EHJ65776 DXC65776:DXN65776 DNG65776:DNR65776 DDK65776:DDV65776 CTO65776:CTZ65776 CJS65776:CKD65776 BZW65776:CAH65776 BQA65776:BQL65776 BGE65776:BGP65776 AWI65776:AWT65776 AMM65776:AMX65776 ACQ65776:ADB65776 SU65776:TF65776 IY65776:JJ65776 F65776:N65776 WVK236:WVV236 WLO236:WLZ236 WBS236:WCD236 VRW236:VSH236 VIA236:VIL236 UYE236:UYP236 UOI236:UOT236 UEM236:UEX236 TUQ236:TVB236 TKU236:TLF236 TAY236:TBJ236 SRC236:SRN236 SHG236:SHR236 RXK236:RXV236 RNO236:RNZ236 RDS236:RED236 QTW236:QUH236 QKA236:QKL236 QAE236:QAP236 PQI236:PQT236 PGM236:PGX236 OWQ236:OXB236 OMU236:ONF236 OCY236:ODJ236 NTC236:NTN236 NJG236:NJR236 MZK236:MZV236 MPO236:MPZ236 MFS236:MGD236 LVW236:LWH236 LMA236:LML236 LCE236:LCP236 KSI236:KST236 KIM236:KIX236 JYQ236:JZB236 JOU236:JPF236 JEY236:JFJ236 IVC236:IVN236 ILG236:ILR236 IBK236:IBV236 HRO236:HRZ236 HHS236:HID236 GXW236:GYH236 GOA236:GOL236 GEE236:GEP236 FUI236:FUT236 FKM236:FKX236 FAQ236:FBB236 EQU236:ERF236 EGY236:EHJ236 DXC236:DXN236 DNG236:DNR236 DDK236:DDV236 CTO236:CTZ236 CJS236:CKD236 BZW236:CAH236 BQA236:BQL236 BGE236:BGP236 AWI236:AWT236 AMM236:AMX236 ACQ236:ADB236 SU236:TF236 F236:N236">
      <formula1>$AJ$1:$AJ$1</formula1>
    </dataValidation>
    <dataValidation type="list" allowBlank="1" showInputMessage="1" showErrorMessage="1" sqref="IY241:JH241 WVK983285:WVT983285 WLO983285:WLX983285 WBS983285:WCB983285 VRW983285:VSF983285 VIA983285:VIJ983285 UYE983285:UYN983285 UOI983285:UOR983285 UEM983285:UEV983285 TUQ983285:TUZ983285 TKU983285:TLD983285 TAY983285:TBH983285 SRC983285:SRL983285 SHG983285:SHP983285 RXK983285:RXT983285 RNO983285:RNX983285 RDS983285:REB983285 QTW983285:QUF983285 QKA983285:QKJ983285 QAE983285:QAN983285 PQI983285:PQR983285 PGM983285:PGV983285 OWQ983285:OWZ983285 OMU983285:OND983285 OCY983285:ODH983285 NTC983285:NTL983285 NJG983285:NJP983285 MZK983285:MZT983285 MPO983285:MPX983285 MFS983285:MGB983285 LVW983285:LWF983285 LMA983285:LMJ983285 LCE983285:LCN983285 KSI983285:KSR983285 KIM983285:KIV983285 JYQ983285:JYZ983285 JOU983285:JPD983285 JEY983285:JFH983285 IVC983285:IVL983285 ILG983285:ILP983285 IBK983285:IBT983285 HRO983285:HRX983285 HHS983285:HIB983285 GXW983285:GYF983285 GOA983285:GOJ983285 GEE983285:GEN983285 FUI983285:FUR983285 FKM983285:FKV983285 FAQ983285:FAZ983285 EQU983285:ERD983285 EGY983285:EHH983285 DXC983285:DXL983285 DNG983285:DNP983285 DDK983285:DDT983285 CTO983285:CTX983285 CJS983285:CKB983285 BZW983285:CAF983285 BQA983285:BQJ983285 BGE983285:BGN983285 AWI983285:AWR983285 AMM983285:AMV983285 ACQ983285:ACZ983285 SU983285:TD983285 IY983285:JH983285 F983285:L983285 WVK917749:WVT917749 WLO917749:WLX917749 WBS917749:WCB917749 VRW917749:VSF917749 VIA917749:VIJ917749 UYE917749:UYN917749 UOI917749:UOR917749 UEM917749:UEV917749 TUQ917749:TUZ917749 TKU917749:TLD917749 TAY917749:TBH917749 SRC917749:SRL917749 SHG917749:SHP917749 RXK917749:RXT917749 RNO917749:RNX917749 RDS917749:REB917749 QTW917749:QUF917749 QKA917749:QKJ917749 QAE917749:QAN917749 PQI917749:PQR917749 PGM917749:PGV917749 OWQ917749:OWZ917749 OMU917749:OND917749 OCY917749:ODH917749 NTC917749:NTL917749 NJG917749:NJP917749 MZK917749:MZT917749 MPO917749:MPX917749 MFS917749:MGB917749 LVW917749:LWF917749 LMA917749:LMJ917749 LCE917749:LCN917749 KSI917749:KSR917749 KIM917749:KIV917749 JYQ917749:JYZ917749 JOU917749:JPD917749 JEY917749:JFH917749 IVC917749:IVL917749 ILG917749:ILP917749 IBK917749:IBT917749 HRO917749:HRX917749 HHS917749:HIB917749 GXW917749:GYF917749 GOA917749:GOJ917749 GEE917749:GEN917749 FUI917749:FUR917749 FKM917749:FKV917749 FAQ917749:FAZ917749 EQU917749:ERD917749 EGY917749:EHH917749 DXC917749:DXL917749 DNG917749:DNP917749 DDK917749:DDT917749 CTO917749:CTX917749 CJS917749:CKB917749 BZW917749:CAF917749 BQA917749:BQJ917749 BGE917749:BGN917749 AWI917749:AWR917749 AMM917749:AMV917749 ACQ917749:ACZ917749 SU917749:TD917749 IY917749:JH917749 F917749:L917749 WVK852213:WVT852213 WLO852213:WLX852213 WBS852213:WCB852213 VRW852213:VSF852213 VIA852213:VIJ852213 UYE852213:UYN852213 UOI852213:UOR852213 UEM852213:UEV852213 TUQ852213:TUZ852213 TKU852213:TLD852213 TAY852213:TBH852213 SRC852213:SRL852213 SHG852213:SHP852213 RXK852213:RXT852213 RNO852213:RNX852213 RDS852213:REB852213 QTW852213:QUF852213 QKA852213:QKJ852213 QAE852213:QAN852213 PQI852213:PQR852213 PGM852213:PGV852213 OWQ852213:OWZ852213 OMU852213:OND852213 OCY852213:ODH852213 NTC852213:NTL852213 NJG852213:NJP852213 MZK852213:MZT852213 MPO852213:MPX852213 MFS852213:MGB852213 LVW852213:LWF852213 LMA852213:LMJ852213 LCE852213:LCN852213 KSI852213:KSR852213 KIM852213:KIV852213 JYQ852213:JYZ852213 JOU852213:JPD852213 JEY852213:JFH852213 IVC852213:IVL852213 ILG852213:ILP852213 IBK852213:IBT852213 HRO852213:HRX852213 HHS852213:HIB852213 GXW852213:GYF852213 GOA852213:GOJ852213 GEE852213:GEN852213 FUI852213:FUR852213 FKM852213:FKV852213 FAQ852213:FAZ852213 EQU852213:ERD852213 EGY852213:EHH852213 DXC852213:DXL852213 DNG852213:DNP852213 DDK852213:DDT852213 CTO852213:CTX852213 CJS852213:CKB852213 BZW852213:CAF852213 BQA852213:BQJ852213 BGE852213:BGN852213 AWI852213:AWR852213 AMM852213:AMV852213 ACQ852213:ACZ852213 SU852213:TD852213 IY852213:JH852213 F852213:L852213 WVK786677:WVT786677 WLO786677:WLX786677 WBS786677:WCB786677 VRW786677:VSF786677 VIA786677:VIJ786677 UYE786677:UYN786677 UOI786677:UOR786677 UEM786677:UEV786677 TUQ786677:TUZ786677 TKU786677:TLD786677 TAY786677:TBH786677 SRC786677:SRL786677 SHG786677:SHP786677 RXK786677:RXT786677 RNO786677:RNX786677 RDS786677:REB786677 QTW786677:QUF786677 QKA786677:QKJ786677 QAE786677:QAN786677 PQI786677:PQR786677 PGM786677:PGV786677 OWQ786677:OWZ786677 OMU786677:OND786677 OCY786677:ODH786677 NTC786677:NTL786677 NJG786677:NJP786677 MZK786677:MZT786677 MPO786677:MPX786677 MFS786677:MGB786677 LVW786677:LWF786677 LMA786677:LMJ786677 LCE786677:LCN786677 KSI786677:KSR786677 KIM786677:KIV786677 JYQ786677:JYZ786677 JOU786677:JPD786677 JEY786677:JFH786677 IVC786677:IVL786677 ILG786677:ILP786677 IBK786677:IBT786677 HRO786677:HRX786677 HHS786677:HIB786677 GXW786677:GYF786677 GOA786677:GOJ786677 GEE786677:GEN786677 FUI786677:FUR786677 FKM786677:FKV786677 FAQ786677:FAZ786677 EQU786677:ERD786677 EGY786677:EHH786677 DXC786677:DXL786677 DNG786677:DNP786677 DDK786677:DDT786677 CTO786677:CTX786677 CJS786677:CKB786677 BZW786677:CAF786677 BQA786677:BQJ786677 BGE786677:BGN786677 AWI786677:AWR786677 AMM786677:AMV786677 ACQ786677:ACZ786677 SU786677:TD786677 IY786677:JH786677 F786677:L786677 WVK721141:WVT721141 WLO721141:WLX721141 WBS721141:WCB721141 VRW721141:VSF721141 VIA721141:VIJ721141 UYE721141:UYN721141 UOI721141:UOR721141 UEM721141:UEV721141 TUQ721141:TUZ721141 TKU721141:TLD721141 TAY721141:TBH721141 SRC721141:SRL721141 SHG721141:SHP721141 RXK721141:RXT721141 RNO721141:RNX721141 RDS721141:REB721141 QTW721141:QUF721141 QKA721141:QKJ721141 QAE721141:QAN721141 PQI721141:PQR721141 PGM721141:PGV721141 OWQ721141:OWZ721141 OMU721141:OND721141 OCY721141:ODH721141 NTC721141:NTL721141 NJG721141:NJP721141 MZK721141:MZT721141 MPO721141:MPX721141 MFS721141:MGB721141 LVW721141:LWF721141 LMA721141:LMJ721141 LCE721141:LCN721141 KSI721141:KSR721141 KIM721141:KIV721141 JYQ721141:JYZ721141 JOU721141:JPD721141 JEY721141:JFH721141 IVC721141:IVL721141 ILG721141:ILP721141 IBK721141:IBT721141 HRO721141:HRX721141 HHS721141:HIB721141 GXW721141:GYF721141 GOA721141:GOJ721141 GEE721141:GEN721141 FUI721141:FUR721141 FKM721141:FKV721141 FAQ721141:FAZ721141 EQU721141:ERD721141 EGY721141:EHH721141 DXC721141:DXL721141 DNG721141:DNP721141 DDK721141:DDT721141 CTO721141:CTX721141 CJS721141:CKB721141 BZW721141:CAF721141 BQA721141:BQJ721141 BGE721141:BGN721141 AWI721141:AWR721141 AMM721141:AMV721141 ACQ721141:ACZ721141 SU721141:TD721141 IY721141:JH721141 F721141:L721141 WVK655605:WVT655605 WLO655605:WLX655605 WBS655605:WCB655605 VRW655605:VSF655605 VIA655605:VIJ655605 UYE655605:UYN655605 UOI655605:UOR655605 UEM655605:UEV655605 TUQ655605:TUZ655605 TKU655605:TLD655605 TAY655605:TBH655605 SRC655605:SRL655605 SHG655605:SHP655605 RXK655605:RXT655605 RNO655605:RNX655605 RDS655605:REB655605 QTW655605:QUF655605 QKA655605:QKJ655605 QAE655605:QAN655605 PQI655605:PQR655605 PGM655605:PGV655605 OWQ655605:OWZ655605 OMU655605:OND655605 OCY655605:ODH655605 NTC655605:NTL655605 NJG655605:NJP655605 MZK655605:MZT655605 MPO655605:MPX655605 MFS655605:MGB655605 LVW655605:LWF655605 LMA655605:LMJ655605 LCE655605:LCN655605 KSI655605:KSR655605 KIM655605:KIV655605 JYQ655605:JYZ655605 JOU655605:JPD655605 JEY655605:JFH655605 IVC655605:IVL655605 ILG655605:ILP655605 IBK655605:IBT655605 HRO655605:HRX655605 HHS655605:HIB655605 GXW655605:GYF655605 GOA655605:GOJ655605 GEE655605:GEN655605 FUI655605:FUR655605 FKM655605:FKV655605 FAQ655605:FAZ655605 EQU655605:ERD655605 EGY655605:EHH655605 DXC655605:DXL655605 DNG655605:DNP655605 DDK655605:DDT655605 CTO655605:CTX655605 CJS655605:CKB655605 BZW655605:CAF655605 BQA655605:BQJ655605 BGE655605:BGN655605 AWI655605:AWR655605 AMM655605:AMV655605 ACQ655605:ACZ655605 SU655605:TD655605 IY655605:JH655605 F655605:L655605 WVK590069:WVT590069 WLO590069:WLX590069 WBS590069:WCB590069 VRW590069:VSF590069 VIA590069:VIJ590069 UYE590069:UYN590069 UOI590069:UOR590069 UEM590069:UEV590069 TUQ590069:TUZ590069 TKU590069:TLD590069 TAY590069:TBH590069 SRC590069:SRL590069 SHG590069:SHP590069 RXK590069:RXT590069 RNO590069:RNX590069 RDS590069:REB590069 QTW590069:QUF590069 QKA590069:QKJ590069 QAE590069:QAN590069 PQI590069:PQR590069 PGM590069:PGV590069 OWQ590069:OWZ590069 OMU590069:OND590069 OCY590069:ODH590069 NTC590069:NTL590069 NJG590069:NJP590069 MZK590069:MZT590069 MPO590069:MPX590069 MFS590069:MGB590069 LVW590069:LWF590069 LMA590069:LMJ590069 LCE590069:LCN590069 KSI590069:KSR590069 KIM590069:KIV590069 JYQ590069:JYZ590069 JOU590069:JPD590069 JEY590069:JFH590069 IVC590069:IVL590069 ILG590069:ILP590069 IBK590069:IBT590069 HRO590069:HRX590069 HHS590069:HIB590069 GXW590069:GYF590069 GOA590069:GOJ590069 GEE590069:GEN590069 FUI590069:FUR590069 FKM590069:FKV590069 FAQ590069:FAZ590069 EQU590069:ERD590069 EGY590069:EHH590069 DXC590069:DXL590069 DNG590069:DNP590069 DDK590069:DDT590069 CTO590069:CTX590069 CJS590069:CKB590069 BZW590069:CAF590069 BQA590069:BQJ590069 BGE590069:BGN590069 AWI590069:AWR590069 AMM590069:AMV590069 ACQ590069:ACZ590069 SU590069:TD590069 IY590069:JH590069 F590069:L590069 WVK524533:WVT524533 WLO524533:WLX524533 WBS524533:WCB524533 VRW524533:VSF524533 VIA524533:VIJ524533 UYE524533:UYN524533 UOI524533:UOR524533 UEM524533:UEV524533 TUQ524533:TUZ524533 TKU524533:TLD524533 TAY524533:TBH524533 SRC524533:SRL524533 SHG524533:SHP524533 RXK524533:RXT524533 RNO524533:RNX524533 RDS524533:REB524533 QTW524533:QUF524533 QKA524533:QKJ524533 QAE524533:QAN524533 PQI524533:PQR524533 PGM524533:PGV524533 OWQ524533:OWZ524533 OMU524533:OND524533 OCY524533:ODH524533 NTC524533:NTL524533 NJG524533:NJP524533 MZK524533:MZT524533 MPO524533:MPX524533 MFS524533:MGB524533 LVW524533:LWF524533 LMA524533:LMJ524533 LCE524533:LCN524533 KSI524533:KSR524533 KIM524533:KIV524533 JYQ524533:JYZ524533 JOU524533:JPD524533 JEY524533:JFH524533 IVC524533:IVL524533 ILG524533:ILP524533 IBK524533:IBT524533 HRO524533:HRX524533 HHS524533:HIB524533 GXW524533:GYF524533 GOA524533:GOJ524533 GEE524533:GEN524533 FUI524533:FUR524533 FKM524533:FKV524533 FAQ524533:FAZ524533 EQU524533:ERD524533 EGY524533:EHH524533 DXC524533:DXL524533 DNG524533:DNP524533 DDK524533:DDT524533 CTO524533:CTX524533 CJS524533:CKB524533 BZW524533:CAF524533 BQA524533:BQJ524533 BGE524533:BGN524533 AWI524533:AWR524533 AMM524533:AMV524533 ACQ524533:ACZ524533 SU524533:TD524533 IY524533:JH524533 F524533:L524533 WVK458997:WVT458997 WLO458997:WLX458997 WBS458997:WCB458997 VRW458997:VSF458997 VIA458997:VIJ458997 UYE458997:UYN458997 UOI458997:UOR458997 UEM458997:UEV458997 TUQ458997:TUZ458997 TKU458997:TLD458997 TAY458997:TBH458997 SRC458997:SRL458997 SHG458997:SHP458997 RXK458997:RXT458997 RNO458997:RNX458997 RDS458997:REB458997 QTW458997:QUF458997 QKA458997:QKJ458997 QAE458997:QAN458997 PQI458997:PQR458997 PGM458997:PGV458997 OWQ458997:OWZ458997 OMU458997:OND458997 OCY458997:ODH458997 NTC458997:NTL458997 NJG458997:NJP458997 MZK458997:MZT458997 MPO458997:MPX458997 MFS458997:MGB458997 LVW458997:LWF458997 LMA458997:LMJ458997 LCE458997:LCN458997 KSI458997:KSR458997 KIM458997:KIV458997 JYQ458997:JYZ458997 JOU458997:JPD458997 JEY458997:JFH458997 IVC458997:IVL458997 ILG458997:ILP458997 IBK458997:IBT458997 HRO458997:HRX458997 HHS458997:HIB458997 GXW458997:GYF458997 GOA458997:GOJ458997 GEE458997:GEN458997 FUI458997:FUR458997 FKM458997:FKV458997 FAQ458997:FAZ458997 EQU458997:ERD458997 EGY458997:EHH458997 DXC458997:DXL458997 DNG458997:DNP458997 DDK458997:DDT458997 CTO458997:CTX458997 CJS458997:CKB458997 BZW458997:CAF458997 BQA458997:BQJ458997 BGE458997:BGN458997 AWI458997:AWR458997 AMM458997:AMV458997 ACQ458997:ACZ458997 SU458997:TD458997 IY458997:JH458997 F458997:L458997 WVK393461:WVT393461 WLO393461:WLX393461 WBS393461:WCB393461 VRW393461:VSF393461 VIA393461:VIJ393461 UYE393461:UYN393461 UOI393461:UOR393461 UEM393461:UEV393461 TUQ393461:TUZ393461 TKU393461:TLD393461 TAY393461:TBH393461 SRC393461:SRL393461 SHG393461:SHP393461 RXK393461:RXT393461 RNO393461:RNX393461 RDS393461:REB393461 QTW393461:QUF393461 QKA393461:QKJ393461 QAE393461:QAN393461 PQI393461:PQR393461 PGM393461:PGV393461 OWQ393461:OWZ393461 OMU393461:OND393461 OCY393461:ODH393461 NTC393461:NTL393461 NJG393461:NJP393461 MZK393461:MZT393461 MPO393461:MPX393461 MFS393461:MGB393461 LVW393461:LWF393461 LMA393461:LMJ393461 LCE393461:LCN393461 KSI393461:KSR393461 KIM393461:KIV393461 JYQ393461:JYZ393461 JOU393461:JPD393461 JEY393461:JFH393461 IVC393461:IVL393461 ILG393461:ILP393461 IBK393461:IBT393461 HRO393461:HRX393461 HHS393461:HIB393461 GXW393461:GYF393461 GOA393461:GOJ393461 GEE393461:GEN393461 FUI393461:FUR393461 FKM393461:FKV393461 FAQ393461:FAZ393461 EQU393461:ERD393461 EGY393461:EHH393461 DXC393461:DXL393461 DNG393461:DNP393461 DDK393461:DDT393461 CTO393461:CTX393461 CJS393461:CKB393461 BZW393461:CAF393461 BQA393461:BQJ393461 BGE393461:BGN393461 AWI393461:AWR393461 AMM393461:AMV393461 ACQ393461:ACZ393461 SU393461:TD393461 IY393461:JH393461 F393461:L393461 WVK327925:WVT327925 WLO327925:WLX327925 WBS327925:WCB327925 VRW327925:VSF327925 VIA327925:VIJ327925 UYE327925:UYN327925 UOI327925:UOR327925 UEM327925:UEV327925 TUQ327925:TUZ327925 TKU327925:TLD327925 TAY327925:TBH327925 SRC327925:SRL327925 SHG327925:SHP327925 RXK327925:RXT327925 RNO327925:RNX327925 RDS327925:REB327925 QTW327925:QUF327925 QKA327925:QKJ327925 QAE327925:QAN327925 PQI327925:PQR327925 PGM327925:PGV327925 OWQ327925:OWZ327925 OMU327925:OND327925 OCY327925:ODH327925 NTC327925:NTL327925 NJG327925:NJP327925 MZK327925:MZT327925 MPO327925:MPX327925 MFS327925:MGB327925 LVW327925:LWF327925 LMA327925:LMJ327925 LCE327925:LCN327925 KSI327925:KSR327925 KIM327925:KIV327925 JYQ327925:JYZ327925 JOU327925:JPD327925 JEY327925:JFH327925 IVC327925:IVL327925 ILG327925:ILP327925 IBK327925:IBT327925 HRO327925:HRX327925 HHS327925:HIB327925 GXW327925:GYF327925 GOA327925:GOJ327925 GEE327925:GEN327925 FUI327925:FUR327925 FKM327925:FKV327925 FAQ327925:FAZ327925 EQU327925:ERD327925 EGY327925:EHH327925 DXC327925:DXL327925 DNG327925:DNP327925 DDK327925:DDT327925 CTO327925:CTX327925 CJS327925:CKB327925 BZW327925:CAF327925 BQA327925:BQJ327925 BGE327925:BGN327925 AWI327925:AWR327925 AMM327925:AMV327925 ACQ327925:ACZ327925 SU327925:TD327925 IY327925:JH327925 F327925:L327925 WVK262389:WVT262389 WLO262389:WLX262389 WBS262389:WCB262389 VRW262389:VSF262389 VIA262389:VIJ262389 UYE262389:UYN262389 UOI262389:UOR262389 UEM262389:UEV262389 TUQ262389:TUZ262389 TKU262389:TLD262389 TAY262389:TBH262389 SRC262389:SRL262389 SHG262389:SHP262389 RXK262389:RXT262389 RNO262389:RNX262389 RDS262389:REB262389 QTW262389:QUF262389 QKA262389:QKJ262389 QAE262389:QAN262389 PQI262389:PQR262389 PGM262389:PGV262389 OWQ262389:OWZ262389 OMU262389:OND262389 OCY262389:ODH262389 NTC262389:NTL262389 NJG262389:NJP262389 MZK262389:MZT262389 MPO262389:MPX262389 MFS262389:MGB262389 LVW262389:LWF262389 LMA262389:LMJ262389 LCE262389:LCN262389 KSI262389:KSR262389 KIM262389:KIV262389 JYQ262389:JYZ262389 JOU262389:JPD262389 JEY262389:JFH262389 IVC262389:IVL262389 ILG262389:ILP262389 IBK262389:IBT262389 HRO262389:HRX262389 HHS262389:HIB262389 GXW262389:GYF262389 GOA262389:GOJ262389 GEE262389:GEN262389 FUI262389:FUR262389 FKM262389:FKV262389 FAQ262389:FAZ262389 EQU262389:ERD262389 EGY262389:EHH262389 DXC262389:DXL262389 DNG262389:DNP262389 DDK262389:DDT262389 CTO262389:CTX262389 CJS262389:CKB262389 BZW262389:CAF262389 BQA262389:BQJ262389 BGE262389:BGN262389 AWI262389:AWR262389 AMM262389:AMV262389 ACQ262389:ACZ262389 SU262389:TD262389 IY262389:JH262389 F262389:L262389 WVK196853:WVT196853 WLO196853:WLX196853 WBS196853:WCB196853 VRW196853:VSF196853 VIA196853:VIJ196853 UYE196853:UYN196853 UOI196853:UOR196853 UEM196853:UEV196853 TUQ196853:TUZ196853 TKU196853:TLD196853 TAY196853:TBH196853 SRC196853:SRL196853 SHG196853:SHP196853 RXK196853:RXT196853 RNO196853:RNX196853 RDS196853:REB196853 QTW196853:QUF196853 QKA196853:QKJ196853 QAE196853:QAN196853 PQI196853:PQR196853 PGM196853:PGV196853 OWQ196853:OWZ196853 OMU196853:OND196853 OCY196853:ODH196853 NTC196853:NTL196853 NJG196853:NJP196853 MZK196853:MZT196853 MPO196853:MPX196853 MFS196853:MGB196853 LVW196853:LWF196853 LMA196853:LMJ196853 LCE196853:LCN196853 KSI196853:KSR196853 KIM196853:KIV196853 JYQ196853:JYZ196853 JOU196853:JPD196853 JEY196853:JFH196853 IVC196853:IVL196853 ILG196853:ILP196853 IBK196853:IBT196853 HRO196853:HRX196853 HHS196853:HIB196853 GXW196853:GYF196853 GOA196853:GOJ196853 GEE196853:GEN196853 FUI196853:FUR196853 FKM196853:FKV196853 FAQ196853:FAZ196853 EQU196853:ERD196853 EGY196853:EHH196853 DXC196853:DXL196853 DNG196853:DNP196853 DDK196853:DDT196853 CTO196853:CTX196853 CJS196853:CKB196853 BZW196853:CAF196853 BQA196853:BQJ196853 BGE196853:BGN196853 AWI196853:AWR196853 AMM196853:AMV196853 ACQ196853:ACZ196853 SU196853:TD196853 IY196853:JH196853 F196853:L196853 WVK131317:WVT131317 WLO131317:WLX131317 WBS131317:WCB131317 VRW131317:VSF131317 VIA131317:VIJ131317 UYE131317:UYN131317 UOI131317:UOR131317 UEM131317:UEV131317 TUQ131317:TUZ131317 TKU131317:TLD131317 TAY131317:TBH131317 SRC131317:SRL131317 SHG131317:SHP131317 RXK131317:RXT131317 RNO131317:RNX131317 RDS131317:REB131317 QTW131317:QUF131317 QKA131317:QKJ131317 QAE131317:QAN131317 PQI131317:PQR131317 PGM131317:PGV131317 OWQ131317:OWZ131317 OMU131317:OND131317 OCY131317:ODH131317 NTC131317:NTL131317 NJG131317:NJP131317 MZK131317:MZT131317 MPO131317:MPX131317 MFS131317:MGB131317 LVW131317:LWF131317 LMA131317:LMJ131317 LCE131317:LCN131317 KSI131317:KSR131317 KIM131317:KIV131317 JYQ131317:JYZ131317 JOU131317:JPD131317 JEY131317:JFH131317 IVC131317:IVL131317 ILG131317:ILP131317 IBK131317:IBT131317 HRO131317:HRX131317 HHS131317:HIB131317 GXW131317:GYF131317 GOA131317:GOJ131317 GEE131317:GEN131317 FUI131317:FUR131317 FKM131317:FKV131317 FAQ131317:FAZ131317 EQU131317:ERD131317 EGY131317:EHH131317 DXC131317:DXL131317 DNG131317:DNP131317 DDK131317:DDT131317 CTO131317:CTX131317 CJS131317:CKB131317 BZW131317:CAF131317 BQA131317:BQJ131317 BGE131317:BGN131317 AWI131317:AWR131317 AMM131317:AMV131317 ACQ131317:ACZ131317 SU131317:TD131317 IY131317:JH131317 F131317:L131317 WVK65781:WVT65781 WLO65781:WLX65781 WBS65781:WCB65781 VRW65781:VSF65781 VIA65781:VIJ65781 UYE65781:UYN65781 UOI65781:UOR65781 UEM65781:UEV65781 TUQ65781:TUZ65781 TKU65781:TLD65781 TAY65781:TBH65781 SRC65781:SRL65781 SHG65781:SHP65781 RXK65781:RXT65781 RNO65781:RNX65781 RDS65781:REB65781 QTW65781:QUF65781 QKA65781:QKJ65781 QAE65781:QAN65781 PQI65781:PQR65781 PGM65781:PGV65781 OWQ65781:OWZ65781 OMU65781:OND65781 OCY65781:ODH65781 NTC65781:NTL65781 NJG65781:NJP65781 MZK65781:MZT65781 MPO65781:MPX65781 MFS65781:MGB65781 LVW65781:LWF65781 LMA65781:LMJ65781 LCE65781:LCN65781 KSI65781:KSR65781 KIM65781:KIV65781 JYQ65781:JYZ65781 JOU65781:JPD65781 JEY65781:JFH65781 IVC65781:IVL65781 ILG65781:ILP65781 IBK65781:IBT65781 HRO65781:HRX65781 HHS65781:HIB65781 GXW65781:GYF65781 GOA65781:GOJ65781 GEE65781:GEN65781 FUI65781:FUR65781 FKM65781:FKV65781 FAQ65781:FAZ65781 EQU65781:ERD65781 EGY65781:EHH65781 DXC65781:DXL65781 DNG65781:DNP65781 DDK65781:DDT65781 CTO65781:CTX65781 CJS65781:CKB65781 BZW65781:CAF65781 BQA65781:BQJ65781 BGE65781:BGN65781 AWI65781:AWR65781 AMM65781:AMV65781 ACQ65781:ACZ65781 SU65781:TD65781 IY65781:JH65781 F65781:L65781 WVK241:WVT241 WLO241:WLX241 WBS241:WCB241 VRW241:VSF241 VIA241:VIJ241 UYE241:UYN241 UOI241:UOR241 UEM241:UEV241 TUQ241:TUZ241 TKU241:TLD241 TAY241:TBH241 SRC241:SRL241 SHG241:SHP241 RXK241:RXT241 RNO241:RNX241 RDS241:REB241 QTW241:QUF241 QKA241:QKJ241 QAE241:QAN241 PQI241:PQR241 PGM241:PGV241 OWQ241:OWZ241 OMU241:OND241 OCY241:ODH241 NTC241:NTL241 NJG241:NJP241 MZK241:MZT241 MPO241:MPX241 MFS241:MGB241 LVW241:LWF241 LMA241:LMJ241 LCE241:LCN241 KSI241:KSR241 KIM241:KIV241 JYQ241:JYZ241 JOU241:JPD241 JEY241:JFH241 IVC241:IVL241 ILG241:ILP241 IBK241:IBT241 HRO241:HRX241 HHS241:HIB241 GXW241:GYF241 GOA241:GOJ241 GEE241:GEN241 FUI241:FUR241 FKM241:FKV241 FAQ241:FAZ241 EQU241:ERD241 EGY241:EHH241 DXC241:DXL241 DNG241:DNP241 DDK241:DDT241 CTO241:CTX241 CJS241:CKB241 BZW241:CAF241 BQA241:BQJ241 BGE241:BGN241 AWI241:AWR241 AMM241:AMV241 ACQ241:ACZ241 SU241:TD241 F241:L241">
      <formula1>$AI$1:$AI$1</formula1>
    </dataValidation>
    <dataValidation type="list" allowBlank="1" showInputMessage="1" showErrorMessage="1" sqref="IY253:JH253 WVK983297:WVT983297 WLO983297:WLX983297 WBS983297:WCB983297 VRW983297:VSF983297 VIA983297:VIJ983297 UYE983297:UYN983297 UOI983297:UOR983297 UEM983297:UEV983297 TUQ983297:TUZ983297 TKU983297:TLD983297 TAY983297:TBH983297 SRC983297:SRL983297 SHG983297:SHP983297 RXK983297:RXT983297 RNO983297:RNX983297 RDS983297:REB983297 QTW983297:QUF983297 QKA983297:QKJ983297 QAE983297:QAN983297 PQI983297:PQR983297 PGM983297:PGV983297 OWQ983297:OWZ983297 OMU983297:OND983297 OCY983297:ODH983297 NTC983297:NTL983297 NJG983297:NJP983297 MZK983297:MZT983297 MPO983297:MPX983297 MFS983297:MGB983297 LVW983297:LWF983297 LMA983297:LMJ983297 LCE983297:LCN983297 KSI983297:KSR983297 KIM983297:KIV983297 JYQ983297:JYZ983297 JOU983297:JPD983297 JEY983297:JFH983297 IVC983297:IVL983297 ILG983297:ILP983297 IBK983297:IBT983297 HRO983297:HRX983297 HHS983297:HIB983297 GXW983297:GYF983297 GOA983297:GOJ983297 GEE983297:GEN983297 FUI983297:FUR983297 FKM983297:FKV983297 FAQ983297:FAZ983297 EQU983297:ERD983297 EGY983297:EHH983297 DXC983297:DXL983297 DNG983297:DNP983297 DDK983297:DDT983297 CTO983297:CTX983297 CJS983297:CKB983297 BZW983297:CAF983297 BQA983297:BQJ983297 BGE983297:BGN983297 AWI983297:AWR983297 AMM983297:AMV983297 ACQ983297:ACZ983297 SU983297:TD983297 IY983297:JH983297 F983297:L983297 WVK917761:WVT917761 WLO917761:WLX917761 WBS917761:WCB917761 VRW917761:VSF917761 VIA917761:VIJ917761 UYE917761:UYN917761 UOI917761:UOR917761 UEM917761:UEV917761 TUQ917761:TUZ917761 TKU917761:TLD917761 TAY917761:TBH917761 SRC917761:SRL917761 SHG917761:SHP917761 RXK917761:RXT917761 RNO917761:RNX917761 RDS917761:REB917761 QTW917761:QUF917761 QKA917761:QKJ917761 QAE917761:QAN917761 PQI917761:PQR917761 PGM917761:PGV917761 OWQ917761:OWZ917761 OMU917761:OND917761 OCY917761:ODH917761 NTC917761:NTL917761 NJG917761:NJP917761 MZK917761:MZT917761 MPO917761:MPX917761 MFS917761:MGB917761 LVW917761:LWF917761 LMA917761:LMJ917761 LCE917761:LCN917761 KSI917761:KSR917761 KIM917761:KIV917761 JYQ917761:JYZ917761 JOU917761:JPD917761 JEY917761:JFH917761 IVC917761:IVL917761 ILG917761:ILP917761 IBK917761:IBT917761 HRO917761:HRX917761 HHS917761:HIB917761 GXW917761:GYF917761 GOA917761:GOJ917761 GEE917761:GEN917761 FUI917761:FUR917761 FKM917761:FKV917761 FAQ917761:FAZ917761 EQU917761:ERD917761 EGY917761:EHH917761 DXC917761:DXL917761 DNG917761:DNP917761 DDK917761:DDT917761 CTO917761:CTX917761 CJS917761:CKB917761 BZW917761:CAF917761 BQA917761:BQJ917761 BGE917761:BGN917761 AWI917761:AWR917761 AMM917761:AMV917761 ACQ917761:ACZ917761 SU917761:TD917761 IY917761:JH917761 F917761:L917761 WVK852225:WVT852225 WLO852225:WLX852225 WBS852225:WCB852225 VRW852225:VSF852225 VIA852225:VIJ852225 UYE852225:UYN852225 UOI852225:UOR852225 UEM852225:UEV852225 TUQ852225:TUZ852225 TKU852225:TLD852225 TAY852225:TBH852225 SRC852225:SRL852225 SHG852225:SHP852225 RXK852225:RXT852225 RNO852225:RNX852225 RDS852225:REB852225 QTW852225:QUF852225 QKA852225:QKJ852225 QAE852225:QAN852225 PQI852225:PQR852225 PGM852225:PGV852225 OWQ852225:OWZ852225 OMU852225:OND852225 OCY852225:ODH852225 NTC852225:NTL852225 NJG852225:NJP852225 MZK852225:MZT852225 MPO852225:MPX852225 MFS852225:MGB852225 LVW852225:LWF852225 LMA852225:LMJ852225 LCE852225:LCN852225 KSI852225:KSR852225 KIM852225:KIV852225 JYQ852225:JYZ852225 JOU852225:JPD852225 JEY852225:JFH852225 IVC852225:IVL852225 ILG852225:ILP852225 IBK852225:IBT852225 HRO852225:HRX852225 HHS852225:HIB852225 GXW852225:GYF852225 GOA852225:GOJ852225 GEE852225:GEN852225 FUI852225:FUR852225 FKM852225:FKV852225 FAQ852225:FAZ852225 EQU852225:ERD852225 EGY852225:EHH852225 DXC852225:DXL852225 DNG852225:DNP852225 DDK852225:DDT852225 CTO852225:CTX852225 CJS852225:CKB852225 BZW852225:CAF852225 BQA852225:BQJ852225 BGE852225:BGN852225 AWI852225:AWR852225 AMM852225:AMV852225 ACQ852225:ACZ852225 SU852225:TD852225 IY852225:JH852225 F852225:L852225 WVK786689:WVT786689 WLO786689:WLX786689 WBS786689:WCB786689 VRW786689:VSF786689 VIA786689:VIJ786689 UYE786689:UYN786689 UOI786689:UOR786689 UEM786689:UEV786689 TUQ786689:TUZ786689 TKU786689:TLD786689 TAY786689:TBH786689 SRC786689:SRL786689 SHG786689:SHP786689 RXK786689:RXT786689 RNO786689:RNX786689 RDS786689:REB786689 QTW786689:QUF786689 QKA786689:QKJ786689 QAE786689:QAN786689 PQI786689:PQR786689 PGM786689:PGV786689 OWQ786689:OWZ786689 OMU786689:OND786689 OCY786689:ODH786689 NTC786689:NTL786689 NJG786689:NJP786689 MZK786689:MZT786689 MPO786689:MPX786689 MFS786689:MGB786689 LVW786689:LWF786689 LMA786689:LMJ786689 LCE786689:LCN786689 KSI786689:KSR786689 KIM786689:KIV786689 JYQ786689:JYZ786689 JOU786689:JPD786689 JEY786689:JFH786689 IVC786689:IVL786689 ILG786689:ILP786689 IBK786689:IBT786689 HRO786689:HRX786689 HHS786689:HIB786689 GXW786689:GYF786689 GOA786689:GOJ786689 GEE786689:GEN786689 FUI786689:FUR786689 FKM786689:FKV786689 FAQ786689:FAZ786689 EQU786689:ERD786689 EGY786689:EHH786689 DXC786689:DXL786689 DNG786689:DNP786689 DDK786689:DDT786689 CTO786689:CTX786689 CJS786689:CKB786689 BZW786689:CAF786689 BQA786689:BQJ786689 BGE786689:BGN786689 AWI786689:AWR786689 AMM786689:AMV786689 ACQ786689:ACZ786689 SU786689:TD786689 IY786689:JH786689 F786689:L786689 WVK721153:WVT721153 WLO721153:WLX721153 WBS721153:WCB721153 VRW721153:VSF721153 VIA721153:VIJ721153 UYE721153:UYN721153 UOI721153:UOR721153 UEM721153:UEV721153 TUQ721153:TUZ721153 TKU721153:TLD721153 TAY721153:TBH721153 SRC721153:SRL721153 SHG721153:SHP721153 RXK721153:RXT721153 RNO721153:RNX721153 RDS721153:REB721153 QTW721153:QUF721153 QKA721153:QKJ721153 QAE721153:QAN721153 PQI721153:PQR721153 PGM721153:PGV721153 OWQ721153:OWZ721153 OMU721153:OND721153 OCY721153:ODH721153 NTC721153:NTL721153 NJG721153:NJP721153 MZK721153:MZT721153 MPO721153:MPX721153 MFS721153:MGB721153 LVW721153:LWF721153 LMA721153:LMJ721153 LCE721153:LCN721153 KSI721153:KSR721153 KIM721153:KIV721153 JYQ721153:JYZ721153 JOU721153:JPD721153 JEY721153:JFH721153 IVC721153:IVL721153 ILG721153:ILP721153 IBK721153:IBT721153 HRO721153:HRX721153 HHS721153:HIB721153 GXW721153:GYF721153 GOA721153:GOJ721153 GEE721153:GEN721153 FUI721153:FUR721153 FKM721153:FKV721153 FAQ721153:FAZ721153 EQU721153:ERD721153 EGY721153:EHH721153 DXC721153:DXL721153 DNG721153:DNP721153 DDK721153:DDT721153 CTO721153:CTX721153 CJS721153:CKB721153 BZW721153:CAF721153 BQA721153:BQJ721153 BGE721153:BGN721153 AWI721153:AWR721153 AMM721153:AMV721153 ACQ721153:ACZ721153 SU721153:TD721153 IY721153:JH721153 F721153:L721153 WVK655617:WVT655617 WLO655617:WLX655617 WBS655617:WCB655617 VRW655617:VSF655617 VIA655617:VIJ655617 UYE655617:UYN655617 UOI655617:UOR655617 UEM655617:UEV655617 TUQ655617:TUZ655617 TKU655617:TLD655617 TAY655617:TBH655617 SRC655617:SRL655617 SHG655617:SHP655617 RXK655617:RXT655617 RNO655617:RNX655617 RDS655617:REB655617 QTW655617:QUF655617 QKA655617:QKJ655617 QAE655617:QAN655617 PQI655617:PQR655617 PGM655617:PGV655617 OWQ655617:OWZ655617 OMU655617:OND655617 OCY655617:ODH655617 NTC655617:NTL655617 NJG655617:NJP655617 MZK655617:MZT655617 MPO655617:MPX655617 MFS655617:MGB655617 LVW655617:LWF655617 LMA655617:LMJ655617 LCE655617:LCN655617 KSI655617:KSR655617 KIM655617:KIV655617 JYQ655617:JYZ655617 JOU655617:JPD655617 JEY655617:JFH655617 IVC655617:IVL655617 ILG655617:ILP655617 IBK655617:IBT655617 HRO655617:HRX655617 HHS655617:HIB655617 GXW655617:GYF655617 GOA655617:GOJ655617 GEE655617:GEN655617 FUI655617:FUR655617 FKM655617:FKV655617 FAQ655617:FAZ655617 EQU655617:ERD655617 EGY655617:EHH655617 DXC655617:DXL655617 DNG655617:DNP655617 DDK655617:DDT655617 CTO655617:CTX655617 CJS655617:CKB655617 BZW655617:CAF655617 BQA655617:BQJ655617 BGE655617:BGN655617 AWI655617:AWR655617 AMM655617:AMV655617 ACQ655617:ACZ655617 SU655617:TD655617 IY655617:JH655617 F655617:L655617 WVK590081:WVT590081 WLO590081:WLX590081 WBS590081:WCB590081 VRW590081:VSF590081 VIA590081:VIJ590081 UYE590081:UYN590081 UOI590081:UOR590081 UEM590081:UEV590081 TUQ590081:TUZ590081 TKU590081:TLD590081 TAY590081:TBH590081 SRC590081:SRL590081 SHG590081:SHP590081 RXK590081:RXT590081 RNO590081:RNX590081 RDS590081:REB590081 QTW590081:QUF590081 QKA590081:QKJ590081 QAE590081:QAN590081 PQI590081:PQR590081 PGM590081:PGV590081 OWQ590081:OWZ590081 OMU590081:OND590081 OCY590081:ODH590081 NTC590081:NTL590081 NJG590081:NJP590081 MZK590081:MZT590081 MPO590081:MPX590081 MFS590081:MGB590081 LVW590081:LWF590081 LMA590081:LMJ590081 LCE590081:LCN590081 KSI590081:KSR590081 KIM590081:KIV590081 JYQ590081:JYZ590081 JOU590081:JPD590081 JEY590081:JFH590081 IVC590081:IVL590081 ILG590081:ILP590081 IBK590081:IBT590081 HRO590081:HRX590081 HHS590081:HIB590081 GXW590081:GYF590081 GOA590081:GOJ590081 GEE590081:GEN590081 FUI590081:FUR590081 FKM590081:FKV590081 FAQ590081:FAZ590081 EQU590081:ERD590081 EGY590081:EHH590081 DXC590081:DXL590081 DNG590081:DNP590081 DDK590081:DDT590081 CTO590081:CTX590081 CJS590081:CKB590081 BZW590081:CAF590081 BQA590081:BQJ590081 BGE590081:BGN590081 AWI590081:AWR590081 AMM590081:AMV590081 ACQ590081:ACZ590081 SU590081:TD590081 IY590081:JH590081 F590081:L590081 WVK524545:WVT524545 WLO524545:WLX524545 WBS524545:WCB524545 VRW524545:VSF524545 VIA524545:VIJ524545 UYE524545:UYN524545 UOI524545:UOR524545 UEM524545:UEV524545 TUQ524545:TUZ524545 TKU524545:TLD524545 TAY524545:TBH524545 SRC524545:SRL524545 SHG524545:SHP524545 RXK524545:RXT524545 RNO524545:RNX524545 RDS524545:REB524545 QTW524545:QUF524545 QKA524545:QKJ524545 QAE524545:QAN524545 PQI524545:PQR524545 PGM524545:PGV524545 OWQ524545:OWZ524545 OMU524545:OND524545 OCY524545:ODH524545 NTC524545:NTL524545 NJG524545:NJP524545 MZK524545:MZT524545 MPO524545:MPX524545 MFS524545:MGB524545 LVW524545:LWF524545 LMA524545:LMJ524545 LCE524545:LCN524545 KSI524545:KSR524545 KIM524545:KIV524545 JYQ524545:JYZ524545 JOU524545:JPD524545 JEY524545:JFH524545 IVC524545:IVL524545 ILG524545:ILP524545 IBK524545:IBT524545 HRO524545:HRX524545 HHS524545:HIB524545 GXW524545:GYF524545 GOA524545:GOJ524545 GEE524545:GEN524545 FUI524545:FUR524545 FKM524545:FKV524545 FAQ524545:FAZ524545 EQU524545:ERD524545 EGY524545:EHH524545 DXC524545:DXL524545 DNG524545:DNP524545 DDK524545:DDT524545 CTO524545:CTX524545 CJS524545:CKB524545 BZW524545:CAF524545 BQA524545:BQJ524545 BGE524545:BGN524545 AWI524545:AWR524545 AMM524545:AMV524545 ACQ524545:ACZ524545 SU524545:TD524545 IY524545:JH524545 F524545:L524545 WVK459009:WVT459009 WLO459009:WLX459009 WBS459009:WCB459009 VRW459009:VSF459009 VIA459009:VIJ459009 UYE459009:UYN459009 UOI459009:UOR459009 UEM459009:UEV459009 TUQ459009:TUZ459009 TKU459009:TLD459009 TAY459009:TBH459009 SRC459009:SRL459009 SHG459009:SHP459009 RXK459009:RXT459009 RNO459009:RNX459009 RDS459009:REB459009 QTW459009:QUF459009 QKA459009:QKJ459009 QAE459009:QAN459009 PQI459009:PQR459009 PGM459009:PGV459009 OWQ459009:OWZ459009 OMU459009:OND459009 OCY459009:ODH459009 NTC459009:NTL459009 NJG459009:NJP459009 MZK459009:MZT459009 MPO459009:MPX459009 MFS459009:MGB459009 LVW459009:LWF459009 LMA459009:LMJ459009 LCE459009:LCN459009 KSI459009:KSR459009 KIM459009:KIV459009 JYQ459009:JYZ459009 JOU459009:JPD459009 JEY459009:JFH459009 IVC459009:IVL459009 ILG459009:ILP459009 IBK459009:IBT459009 HRO459009:HRX459009 HHS459009:HIB459009 GXW459009:GYF459009 GOA459009:GOJ459009 GEE459009:GEN459009 FUI459009:FUR459009 FKM459009:FKV459009 FAQ459009:FAZ459009 EQU459009:ERD459009 EGY459009:EHH459009 DXC459009:DXL459009 DNG459009:DNP459009 DDK459009:DDT459009 CTO459009:CTX459009 CJS459009:CKB459009 BZW459009:CAF459009 BQA459009:BQJ459009 BGE459009:BGN459009 AWI459009:AWR459009 AMM459009:AMV459009 ACQ459009:ACZ459009 SU459009:TD459009 IY459009:JH459009 F459009:L459009 WVK393473:WVT393473 WLO393473:WLX393473 WBS393473:WCB393473 VRW393473:VSF393473 VIA393473:VIJ393473 UYE393473:UYN393473 UOI393473:UOR393473 UEM393473:UEV393473 TUQ393473:TUZ393473 TKU393473:TLD393473 TAY393473:TBH393473 SRC393473:SRL393473 SHG393473:SHP393473 RXK393473:RXT393473 RNO393473:RNX393473 RDS393473:REB393473 QTW393473:QUF393473 QKA393473:QKJ393473 QAE393473:QAN393473 PQI393473:PQR393473 PGM393473:PGV393473 OWQ393473:OWZ393473 OMU393473:OND393473 OCY393473:ODH393473 NTC393473:NTL393473 NJG393473:NJP393473 MZK393473:MZT393473 MPO393473:MPX393473 MFS393473:MGB393473 LVW393473:LWF393473 LMA393473:LMJ393473 LCE393473:LCN393473 KSI393473:KSR393473 KIM393473:KIV393473 JYQ393473:JYZ393473 JOU393473:JPD393473 JEY393473:JFH393473 IVC393473:IVL393473 ILG393473:ILP393473 IBK393473:IBT393473 HRO393473:HRX393473 HHS393473:HIB393473 GXW393473:GYF393473 GOA393473:GOJ393473 GEE393473:GEN393473 FUI393473:FUR393473 FKM393473:FKV393473 FAQ393473:FAZ393473 EQU393473:ERD393473 EGY393473:EHH393473 DXC393473:DXL393473 DNG393473:DNP393473 DDK393473:DDT393473 CTO393473:CTX393473 CJS393473:CKB393473 BZW393473:CAF393473 BQA393473:BQJ393473 BGE393473:BGN393473 AWI393473:AWR393473 AMM393473:AMV393473 ACQ393473:ACZ393473 SU393473:TD393473 IY393473:JH393473 F393473:L393473 WVK327937:WVT327937 WLO327937:WLX327937 WBS327937:WCB327937 VRW327937:VSF327937 VIA327937:VIJ327937 UYE327937:UYN327937 UOI327937:UOR327937 UEM327937:UEV327937 TUQ327937:TUZ327937 TKU327937:TLD327937 TAY327937:TBH327937 SRC327937:SRL327937 SHG327937:SHP327937 RXK327937:RXT327937 RNO327937:RNX327937 RDS327937:REB327937 QTW327937:QUF327937 QKA327937:QKJ327937 QAE327937:QAN327937 PQI327937:PQR327937 PGM327937:PGV327937 OWQ327937:OWZ327937 OMU327937:OND327937 OCY327937:ODH327937 NTC327937:NTL327937 NJG327937:NJP327937 MZK327937:MZT327937 MPO327937:MPX327937 MFS327937:MGB327937 LVW327937:LWF327937 LMA327937:LMJ327937 LCE327937:LCN327937 KSI327937:KSR327937 KIM327937:KIV327937 JYQ327937:JYZ327937 JOU327937:JPD327937 JEY327937:JFH327937 IVC327937:IVL327937 ILG327937:ILP327937 IBK327937:IBT327937 HRO327937:HRX327937 HHS327937:HIB327937 GXW327937:GYF327937 GOA327937:GOJ327937 GEE327937:GEN327937 FUI327937:FUR327937 FKM327937:FKV327937 FAQ327937:FAZ327937 EQU327937:ERD327937 EGY327937:EHH327937 DXC327937:DXL327937 DNG327937:DNP327937 DDK327937:DDT327937 CTO327937:CTX327937 CJS327937:CKB327937 BZW327937:CAF327937 BQA327937:BQJ327937 BGE327937:BGN327937 AWI327937:AWR327937 AMM327937:AMV327937 ACQ327937:ACZ327937 SU327937:TD327937 IY327937:JH327937 F327937:L327937 WVK262401:WVT262401 WLO262401:WLX262401 WBS262401:WCB262401 VRW262401:VSF262401 VIA262401:VIJ262401 UYE262401:UYN262401 UOI262401:UOR262401 UEM262401:UEV262401 TUQ262401:TUZ262401 TKU262401:TLD262401 TAY262401:TBH262401 SRC262401:SRL262401 SHG262401:SHP262401 RXK262401:RXT262401 RNO262401:RNX262401 RDS262401:REB262401 QTW262401:QUF262401 QKA262401:QKJ262401 QAE262401:QAN262401 PQI262401:PQR262401 PGM262401:PGV262401 OWQ262401:OWZ262401 OMU262401:OND262401 OCY262401:ODH262401 NTC262401:NTL262401 NJG262401:NJP262401 MZK262401:MZT262401 MPO262401:MPX262401 MFS262401:MGB262401 LVW262401:LWF262401 LMA262401:LMJ262401 LCE262401:LCN262401 KSI262401:KSR262401 KIM262401:KIV262401 JYQ262401:JYZ262401 JOU262401:JPD262401 JEY262401:JFH262401 IVC262401:IVL262401 ILG262401:ILP262401 IBK262401:IBT262401 HRO262401:HRX262401 HHS262401:HIB262401 GXW262401:GYF262401 GOA262401:GOJ262401 GEE262401:GEN262401 FUI262401:FUR262401 FKM262401:FKV262401 FAQ262401:FAZ262401 EQU262401:ERD262401 EGY262401:EHH262401 DXC262401:DXL262401 DNG262401:DNP262401 DDK262401:DDT262401 CTO262401:CTX262401 CJS262401:CKB262401 BZW262401:CAF262401 BQA262401:BQJ262401 BGE262401:BGN262401 AWI262401:AWR262401 AMM262401:AMV262401 ACQ262401:ACZ262401 SU262401:TD262401 IY262401:JH262401 F262401:L262401 WVK196865:WVT196865 WLO196865:WLX196865 WBS196865:WCB196865 VRW196865:VSF196865 VIA196865:VIJ196865 UYE196865:UYN196865 UOI196865:UOR196865 UEM196865:UEV196865 TUQ196865:TUZ196865 TKU196865:TLD196865 TAY196865:TBH196865 SRC196865:SRL196865 SHG196865:SHP196865 RXK196865:RXT196865 RNO196865:RNX196865 RDS196865:REB196865 QTW196865:QUF196865 QKA196865:QKJ196865 QAE196865:QAN196865 PQI196865:PQR196865 PGM196865:PGV196865 OWQ196865:OWZ196865 OMU196865:OND196865 OCY196865:ODH196865 NTC196865:NTL196865 NJG196865:NJP196865 MZK196865:MZT196865 MPO196865:MPX196865 MFS196865:MGB196865 LVW196865:LWF196865 LMA196865:LMJ196865 LCE196865:LCN196865 KSI196865:KSR196865 KIM196865:KIV196865 JYQ196865:JYZ196865 JOU196865:JPD196865 JEY196865:JFH196865 IVC196865:IVL196865 ILG196865:ILP196865 IBK196865:IBT196865 HRO196865:HRX196865 HHS196865:HIB196865 GXW196865:GYF196865 GOA196865:GOJ196865 GEE196865:GEN196865 FUI196865:FUR196865 FKM196865:FKV196865 FAQ196865:FAZ196865 EQU196865:ERD196865 EGY196865:EHH196865 DXC196865:DXL196865 DNG196865:DNP196865 DDK196865:DDT196865 CTO196865:CTX196865 CJS196865:CKB196865 BZW196865:CAF196865 BQA196865:BQJ196865 BGE196865:BGN196865 AWI196865:AWR196865 AMM196865:AMV196865 ACQ196865:ACZ196865 SU196865:TD196865 IY196865:JH196865 F196865:L196865 WVK131329:WVT131329 WLO131329:WLX131329 WBS131329:WCB131329 VRW131329:VSF131329 VIA131329:VIJ131329 UYE131329:UYN131329 UOI131329:UOR131329 UEM131329:UEV131329 TUQ131329:TUZ131329 TKU131329:TLD131329 TAY131329:TBH131329 SRC131329:SRL131329 SHG131329:SHP131329 RXK131329:RXT131329 RNO131329:RNX131329 RDS131329:REB131329 QTW131329:QUF131329 QKA131329:QKJ131329 QAE131329:QAN131329 PQI131329:PQR131329 PGM131329:PGV131329 OWQ131329:OWZ131329 OMU131329:OND131329 OCY131329:ODH131329 NTC131329:NTL131329 NJG131329:NJP131329 MZK131329:MZT131329 MPO131329:MPX131329 MFS131329:MGB131329 LVW131329:LWF131329 LMA131329:LMJ131329 LCE131329:LCN131329 KSI131329:KSR131329 KIM131329:KIV131329 JYQ131329:JYZ131329 JOU131329:JPD131329 JEY131329:JFH131329 IVC131329:IVL131329 ILG131329:ILP131329 IBK131329:IBT131329 HRO131329:HRX131329 HHS131329:HIB131329 GXW131329:GYF131329 GOA131329:GOJ131329 GEE131329:GEN131329 FUI131329:FUR131329 FKM131329:FKV131329 FAQ131329:FAZ131329 EQU131329:ERD131329 EGY131329:EHH131329 DXC131329:DXL131329 DNG131329:DNP131329 DDK131329:DDT131329 CTO131329:CTX131329 CJS131329:CKB131329 BZW131329:CAF131329 BQA131329:BQJ131329 BGE131329:BGN131329 AWI131329:AWR131329 AMM131329:AMV131329 ACQ131329:ACZ131329 SU131329:TD131329 IY131329:JH131329 F131329:L131329 WVK65793:WVT65793 WLO65793:WLX65793 WBS65793:WCB65793 VRW65793:VSF65793 VIA65793:VIJ65793 UYE65793:UYN65793 UOI65793:UOR65793 UEM65793:UEV65793 TUQ65793:TUZ65793 TKU65793:TLD65793 TAY65793:TBH65793 SRC65793:SRL65793 SHG65793:SHP65793 RXK65793:RXT65793 RNO65793:RNX65793 RDS65793:REB65793 QTW65793:QUF65793 QKA65793:QKJ65793 QAE65793:QAN65793 PQI65793:PQR65793 PGM65793:PGV65793 OWQ65793:OWZ65793 OMU65793:OND65793 OCY65793:ODH65793 NTC65793:NTL65793 NJG65793:NJP65793 MZK65793:MZT65793 MPO65793:MPX65793 MFS65793:MGB65793 LVW65793:LWF65793 LMA65793:LMJ65793 LCE65793:LCN65793 KSI65793:KSR65793 KIM65793:KIV65793 JYQ65793:JYZ65793 JOU65793:JPD65793 JEY65793:JFH65793 IVC65793:IVL65793 ILG65793:ILP65793 IBK65793:IBT65793 HRO65793:HRX65793 HHS65793:HIB65793 GXW65793:GYF65793 GOA65793:GOJ65793 GEE65793:GEN65793 FUI65793:FUR65793 FKM65793:FKV65793 FAQ65793:FAZ65793 EQU65793:ERD65793 EGY65793:EHH65793 DXC65793:DXL65793 DNG65793:DNP65793 DDK65793:DDT65793 CTO65793:CTX65793 CJS65793:CKB65793 BZW65793:CAF65793 BQA65793:BQJ65793 BGE65793:BGN65793 AWI65793:AWR65793 AMM65793:AMV65793 ACQ65793:ACZ65793 SU65793:TD65793 IY65793:JH65793 F65793:L65793 WVK253:WVT253 WLO253:WLX253 WBS253:WCB253 VRW253:VSF253 VIA253:VIJ253 UYE253:UYN253 UOI253:UOR253 UEM253:UEV253 TUQ253:TUZ253 TKU253:TLD253 TAY253:TBH253 SRC253:SRL253 SHG253:SHP253 RXK253:RXT253 RNO253:RNX253 RDS253:REB253 QTW253:QUF253 QKA253:QKJ253 QAE253:QAN253 PQI253:PQR253 PGM253:PGV253 OWQ253:OWZ253 OMU253:OND253 OCY253:ODH253 NTC253:NTL253 NJG253:NJP253 MZK253:MZT253 MPO253:MPX253 MFS253:MGB253 LVW253:LWF253 LMA253:LMJ253 LCE253:LCN253 KSI253:KSR253 KIM253:KIV253 JYQ253:JYZ253 JOU253:JPD253 JEY253:JFH253 IVC253:IVL253 ILG253:ILP253 IBK253:IBT253 HRO253:HRX253 HHS253:HIB253 GXW253:GYF253 GOA253:GOJ253 GEE253:GEN253 FUI253:FUR253 FKM253:FKV253 FAQ253:FAZ253 EQU253:ERD253 EGY253:EHH253 DXC253:DXL253 DNG253:DNP253 DDK253:DDT253 CTO253:CTX253 CJS253:CKB253 BZW253:CAF253 BQA253:BQJ253 BGE253:BGN253 AWI253:AWR253 AMM253:AMV253 ACQ253:ACZ253 SU253:TD253 F253:L253">
      <formula1>$AK$1:$AK$1</formula1>
    </dataValidation>
    <dataValidation type="list" allowBlank="1" showInputMessage="1" showErrorMessage="1" sqref="M253:N253 JI253:JJ253 TE253:TF253 ADA253:ADB253 AMW253:AMX253 AWS253:AWT253 BGO253:BGP253 BQK253:BQL253 CAG253:CAH253 CKC253:CKD253 CTY253:CTZ253 DDU253:DDV253 DNQ253:DNR253 DXM253:DXN253 EHI253:EHJ253 ERE253:ERF253 FBA253:FBB253 FKW253:FKX253 FUS253:FUT253 GEO253:GEP253 GOK253:GOL253 GYG253:GYH253 HIC253:HID253 HRY253:HRZ253 IBU253:IBV253 ILQ253:ILR253 IVM253:IVN253 JFI253:JFJ253 JPE253:JPF253 JZA253:JZB253 KIW253:KIX253 KSS253:KST253 LCO253:LCP253 LMK253:LML253 LWG253:LWH253 MGC253:MGD253 MPY253:MPZ253 MZU253:MZV253 NJQ253:NJR253 NTM253:NTN253 ODI253:ODJ253 ONE253:ONF253 OXA253:OXB253 PGW253:PGX253 PQS253:PQT253 QAO253:QAP253 QKK253:QKL253 QUG253:QUH253 REC253:RED253 RNY253:RNZ253 RXU253:RXV253 SHQ253:SHR253 SRM253:SRN253 TBI253:TBJ253 TLE253:TLF253 TVA253:TVB253 UEW253:UEX253 UOS253:UOT253 UYO253:UYP253 VIK253:VIL253 VSG253:VSH253 WCC253:WCD253 WLY253:WLZ253 WVU253:WVV253 M65793:N65793 JI65793:JJ65793 TE65793:TF65793 ADA65793:ADB65793 AMW65793:AMX65793 AWS65793:AWT65793 BGO65793:BGP65793 BQK65793:BQL65793 CAG65793:CAH65793 CKC65793:CKD65793 CTY65793:CTZ65793 DDU65793:DDV65793 DNQ65793:DNR65793 DXM65793:DXN65793 EHI65793:EHJ65793 ERE65793:ERF65793 FBA65793:FBB65793 FKW65793:FKX65793 FUS65793:FUT65793 GEO65793:GEP65793 GOK65793:GOL65793 GYG65793:GYH65793 HIC65793:HID65793 HRY65793:HRZ65793 IBU65793:IBV65793 ILQ65793:ILR65793 IVM65793:IVN65793 JFI65793:JFJ65793 JPE65793:JPF65793 JZA65793:JZB65793 KIW65793:KIX65793 KSS65793:KST65793 LCO65793:LCP65793 LMK65793:LML65793 LWG65793:LWH65793 MGC65793:MGD65793 MPY65793:MPZ65793 MZU65793:MZV65793 NJQ65793:NJR65793 NTM65793:NTN65793 ODI65793:ODJ65793 ONE65793:ONF65793 OXA65793:OXB65793 PGW65793:PGX65793 PQS65793:PQT65793 QAO65793:QAP65793 QKK65793:QKL65793 QUG65793:QUH65793 REC65793:RED65793 RNY65793:RNZ65793 RXU65793:RXV65793 SHQ65793:SHR65793 SRM65793:SRN65793 TBI65793:TBJ65793 TLE65793:TLF65793 TVA65793:TVB65793 UEW65793:UEX65793 UOS65793:UOT65793 UYO65793:UYP65793 VIK65793:VIL65793 VSG65793:VSH65793 WCC65793:WCD65793 WLY65793:WLZ65793 WVU65793:WVV65793 M131329:N131329 JI131329:JJ131329 TE131329:TF131329 ADA131329:ADB131329 AMW131329:AMX131329 AWS131329:AWT131329 BGO131329:BGP131329 BQK131329:BQL131329 CAG131329:CAH131329 CKC131329:CKD131329 CTY131329:CTZ131329 DDU131329:DDV131329 DNQ131329:DNR131329 DXM131329:DXN131329 EHI131329:EHJ131329 ERE131329:ERF131329 FBA131329:FBB131329 FKW131329:FKX131329 FUS131329:FUT131329 GEO131329:GEP131329 GOK131329:GOL131329 GYG131329:GYH131329 HIC131329:HID131329 HRY131329:HRZ131329 IBU131329:IBV131329 ILQ131329:ILR131329 IVM131329:IVN131329 JFI131329:JFJ131329 JPE131329:JPF131329 JZA131329:JZB131329 KIW131329:KIX131329 KSS131329:KST131329 LCO131329:LCP131329 LMK131329:LML131329 LWG131329:LWH131329 MGC131329:MGD131329 MPY131329:MPZ131329 MZU131329:MZV131329 NJQ131329:NJR131329 NTM131329:NTN131329 ODI131329:ODJ131329 ONE131329:ONF131329 OXA131329:OXB131329 PGW131329:PGX131329 PQS131329:PQT131329 QAO131329:QAP131329 QKK131329:QKL131329 QUG131329:QUH131329 REC131329:RED131329 RNY131329:RNZ131329 RXU131329:RXV131329 SHQ131329:SHR131329 SRM131329:SRN131329 TBI131329:TBJ131329 TLE131329:TLF131329 TVA131329:TVB131329 UEW131329:UEX131329 UOS131329:UOT131329 UYO131329:UYP131329 VIK131329:VIL131329 VSG131329:VSH131329 WCC131329:WCD131329 WLY131329:WLZ131329 WVU131329:WVV131329 M196865:N196865 JI196865:JJ196865 TE196865:TF196865 ADA196865:ADB196865 AMW196865:AMX196865 AWS196865:AWT196865 BGO196865:BGP196865 BQK196865:BQL196865 CAG196865:CAH196865 CKC196865:CKD196865 CTY196865:CTZ196865 DDU196865:DDV196865 DNQ196865:DNR196865 DXM196865:DXN196865 EHI196865:EHJ196865 ERE196865:ERF196865 FBA196865:FBB196865 FKW196865:FKX196865 FUS196865:FUT196865 GEO196865:GEP196865 GOK196865:GOL196865 GYG196865:GYH196865 HIC196865:HID196865 HRY196865:HRZ196865 IBU196865:IBV196865 ILQ196865:ILR196865 IVM196865:IVN196865 JFI196865:JFJ196865 JPE196865:JPF196865 JZA196865:JZB196865 KIW196865:KIX196865 KSS196865:KST196865 LCO196865:LCP196865 LMK196865:LML196865 LWG196865:LWH196865 MGC196865:MGD196865 MPY196865:MPZ196865 MZU196865:MZV196865 NJQ196865:NJR196865 NTM196865:NTN196865 ODI196865:ODJ196865 ONE196865:ONF196865 OXA196865:OXB196865 PGW196865:PGX196865 PQS196865:PQT196865 QAO196865:QAP196865 QKK196865:QKL196865 QUG196865:QUH196865 REC196865:RED196865 RNY196865:RNZ196865 RXU196865:RXV196865 SHQ196865:SHR196865 SRM196865:SRN196865 TBI196865:TBJ196865 TLE196865:TLF196865 TVA196865:TVB196865 UEW196865:UEX196865 UOS196865:UOT196865 UYO196865:UYP196865 VIK196865:VIL196865 VSG196865:VSH196865 WCC196865:WCD196865 WLY196865:WLZ196865 WVU196865:WVV196865 M262401:N262401 JI262401:JJ262401 TE262401:TF262401 ADA262401:ADB262401 AMW262401:AMX262401 AWS262401:AWT262401 BGO262401:BGP262401 BQK262401:BQL262401 CAG262401:CAH262401 CKC262401:CKD262401 CTY262401:CTZ262401 DDU262401:DDV262401 DNQ262401:DNR262401 DXM262401:DXN262401 EHI262401:EHJ262401 ERE262401:ERF262401 FBA262401:FBB262401 FKW262401:FKX262401 FUS262401:FUT262401 GEO262401:GEP262401 GOK262401:GOL262401 GYG262401:GYH262401 HIC262401:HID262401 HRY262401:HRZ262401 IBU262401:IBV262401 ILQ262401:ILR262401 IVM262401:IVN262401 JFI262401:JFJ262401 JPE262401:JPF262401 JZA262401:JZB262401 KIW262401:KIX262401 KSS262401:KST262401 LCO262401:LCP262401 LMK262401:LML262401 LWG262401:LWH262401 MGC262401:MGD262401 MPY262401:MPZ262401 MZU262401:MZV262401 NJQ262401:NJR262401 NTM262401:NTN262401 ODI262401:ODJ262401 ONE262401:ONF262401 OXA262401:OXB262401 PGW262401:PGX262401 PQS262401:PQT262401 QAO262401:QAP262401 QKK262401:QKL262401 QUG262401:QUH262401 REC262401:RED262401 RNY262401:RNZ262401 RXU262401:RXV262401 SHQ262401:SHR262401 SRM262401:SRN262401 TBI262401:TBJ262401 TLE262401:TLF262401 TVA262401:TVB262401 UEW262401:UEX262401 UOS262401:UOT262401 UYO262401:UYP262401 VIK262401:VIL262401 VSG262401:VSH262401 WCC262401:WCD262401 WLY262401:WLZ262401 WVU262401:WVV262401 M327937:N327937 JI327937:JJ327937 TE327937:TF327937 ADA327937:ADB327937 AMW327937:AMX327937 AWS327937:AWT327937 BGO327937:BGP327937 BQK327937:BQL327937 CAG327937:CAH327937 CKC327937:CKD327937 CTY327937:CTZ327937 DDU327937:DDV327937 DNQ327937:DNR327937 DXM327937:DXN327937 EHI327937:EHJ327937 ERE327937:ERF327937 FBA327937:FBB327937 FKW327937:FKX327937 FUS327937:FUT327937 GEO327937:GEP327937 GOK327937:GOL327937 GYG327937:GYH327937 HIC327937:HID327937 HRY327937:HRZ327937 IBU327937:IBV327937 ILQ327937:ILR327937 IVM327937:IVN327937 JFI327937:JFJ327937 JPE327937:JPF327937 JZA327937:JZB327937 KIW327937:KIX327937 KSS327937:KST327937 LCO327937:LCP327937 LMK327937:LML327937 LWG327937:LWH327937 MGC327937:MGD327937 MPY327937:MPZ327937 MZU327937:MZV327937 NJQ327937:NJR327937 NTM327937:NTN327937 ODI327937:ODJ327937 ONE327937:ONF327937 OXA327937:OXB327937 PGW327937:PGX327937 PQS327937:PQT327937 QAO327937:QAP327937 QKK327937:QKL327937 QUG327937:QUH327937 REC327937:RED327937 RNY327937:RNZ327937 RXU327937:RXV327937 SHQ327937:SHR327937 SRM327937:SRN327937 TBI327937:TBJ327937 TLE327937:TLF327937 TVA327937:TVB327937 UEW327937:UEX327937 UOS327937:UOT327937 UYO327937:UYP327937 VIK327937:VIL327937 VSG327937:VSH327937 WCC327937:WCD327937 WLY327937:WLZ327937 WVU327937:WVV327937 M393473:N393473 JI393473:JJ393473 TE393473:TF393473 ADA393473:ADB393473 AMW393473:AMX393473 AWS393473:AWT393473 BGO393473:BGP393473 BQK393473:BQL393473 CAG393473:CAH393473 CKC393473:CKD393473 CTY393473:CTZ393473 DDU393473:DDV393473 DNQ393473:DNR393473 DXM393473:DXN393473 EHI393473:EHJ393473 ERE393473:ERF393473 FBA393473:FBB393473 FKW393473:FKX393473 FUS393473:FUT393473 GEO393473:GEP393473 GOK393473:GOL393473 GYG393473:GYH393473 HIC393473:HID393473 HRY393473:HRZ393473 IBU393473:IBV393473 ILQ393473:ILR393473 IVM393473:IVN393473 JFI393473:JFJ393473 JPE393473:JPF393473 JZA393473:JZB393473 KIW393473:KIX393473 KSS393473:KST393473 LCO393473:LCP393473 LMK393473:LML393473 LWG393473:LWH393473 MGC393473:MGD393473 MPY393473:MPZ393473 MZU393473:MZV393473 NJQ393473:NJR393473 NTM393473:NTN393473 ODI393473:ODJ393473 ONE393473:ONF393473 OXA393473:OXB393473 PGW393473:PGX393473 PQS393473:PQT393473 QAO393473:QAP393473 QKK393473:QKL393473 QUG393473:QUH393473 REC393473:RED393473 RNY393473:RNZ393473 RXU393473:RXV393473 SHQ393473:SHR393473 SRM393473:SRN393473 TBI393473:TBJ393473 TLE393473:TLF393473 TVA393473:TVB393473 UEW393473:UEX393473 UOS393473:UOT393473 UYO393473:UYP393473 VIK393473:VIL393473 VSG393473:VSH393473 WCC393473:WCD393473 WLY393473:WLZ393473 WVU393473:WVV393473 M459009:N459009 JI459009:JJ459009 TE459009:TF459009 ADA459009:ADB459009 AMW459009:AMX459009 AWS459009:AWT459009 BGO459009:BGP459009 BQK459009:BQL459009 CAG459009:CAH459009 CKC459009:CKD459009 CTY459009:CTZ459009 DDU459009:DDV459009 DNQ459009:DNR459009 DXM459009:DXN459009 EHI459009:EHJ459009 ERE459009:ERF459009 FBA459009:FBB459009 FKW459009:FKX459009 FUS459009:FUT459009 GEO459009:GEP459009 GOK459009:GOL459009 GYG459009:GYH459009 HIC459009:HID459009 HRY459009:HRZ459009 IBU459009:IBV459009 ILQ459009:ILR459009 IVM459009:IVN459009 JFI459009:JFJ459009 JPE459009:JPF459009 JZA459009:JZB459009 KIW459009:KIX459009 KSS459009:KST459009 LCO459009:LCP459009 LMK459009:LML459009 LWG459009:LWH459009 MGC459009:MGD459009 MPY459009:MPZ459009 MZU459009:MZV459009 NJQ459009:NJR459009 NTM459009:NTN459009 ODI459009:ODJ459009 ONE459009:ONF459009 OXA459009:OXB459009 PGW459009:PGX459009 PQS459009:PQT459009 QAO459009:QAP459009 QKK459009:QKL459009 QUG459009:QUH459009 REC459009:RED459009 RNY459009:RNZ459009 RXU459009:RXV459009 SHQ459009:SHR459009 SRM459009:SRN459009 TBI459009:TBJ459009 TLE459009:TLF459009 TVA459009:TVB459009 UEW459009:UEX459009 UOS459009:UOT459009 UYO459009:UYP459009 VIK459009:VIL459009 VSG459009:VSH459009 WCC459009:WCD459009 WLY459009:WLZ459009 WVU459009:WVV459009 M524545:N524545 JI524545:JJ524545 TE524545:TF524545 ADA524545:ADB524545 AMW524545:AMX524545 AWS524545:AWT524545 BGO524545:BGP524545 BQK524545:BQL524545 CAG524545:CAH524545 CKC524545:CKD524545 CTY524545:CTZ524545 DDU524545:DDV524545 DNQ524545:DNR524545 DXM524545:DXN524545 EHI524545:EHJ524545 ERE524545:ERF524545 FBA524545:FBB524545 FKW524545:FKX524545 FUS524545:FUT524545 GEO524545:GEP524545 GOK524545:GOL524545 GYG524545:GYH524545 HIC524545:HID524545 HRY524545:HRZ524545 IBU524545:IBV524545 ILQ524545:ILR524545 IVM524545:IVN524545 JFI524545:JFJ524545 JPE524545:JPF524545 JZA524545:JZB524545 KIW524545:KIX524545 KSS524545:KST524545 LCO524545:LCP524545 LMK524545:LML524545 LWG524545:LWH524545 MGC524545:MGD524545 MPY524545:MPZ524545 MZU524545:MZV524545 NJQ524545:NJR524545 NTM524545:NTN524545 ODI524545:ODJ524545 ONE524545:ONF524545 OXA524545:OXB524545 PGW524545:PGX524545 PQS524545:PQT524545 QAO524545:QAP524545 QKK524545:QKL524545 QUG524545:QUH524545 REC524545:RED524545 RNY524545:RNZ524545 RXU524545:RXV524545 SHQ524545:SHR524545 SRM524545:SRN524545 TBI524545:TBJ524545 TLE524545:TLF524545 TVA524545:TVB524545 UEW524545:UEX524545 UOS524545:UOT524545 UYO524545:UYP524545 VIK524545:VIL524545 VSG524545:VSH524545 WCC524545:WCD524545 WLY524545:WLZ524545 WVU524545:WVV524545 M590081:N590081 JI590081:JJ590081 TE590081:TF590081 ADA590081:ADB590081 AMW590081:AMX590081 AWS590081:AWT590081 BGO590081:BGP590081 BQK590081:BQL590081 CAG590081:CAH590081 CKC590081:CKD590081 CTY590081:CTZ590081 DDU590081:DDV590081 DNQ590081:DNR590081 DXM590081:DXN590081 EHI590081:EHJ590081 ERE590081:ERF590081 FBA590081:FBB590081 FKW590081:FKX590081 FUS590081:FUT590081 GEO590081:GEP590081 GOK590081:GOL590081 GYG590081:GYH590081 HIC590081:HID590081 HRY590081:HRZ590081 IBU590081:IBV590081 ILQ590081:ILR590081 IVM590081:IVN590081 JFI590081:JFJ590081 JPE590081:JPF590081 JZA590081:JZB590081 KIW590081:KIX590081 KSS590081:KST590081 LCO590081:LCP590081 LMK590081:LML590081 LWG590081:LWH590081 MGC590081:MGD590081 MPY590081:MPZ590081 MZU590081:MZV590081 NJQ590081:NJR590081 NTM590081:NTN590081 ODI590081:ODJ590081 ONE590081:ONF590081 OXA590081:OXB590081 PGW590081:PGX590081 PQS590081:PQT590081 QAO590081:QAP590081 QKK590081:QKL590081 QUG590081:QUH590081 REC590081:RED590081 RNY590081:RNZ590081 RXU590081:RXV590081 SHQ590081:SHR590081 SRM590081:SRN590081 TBI590081:TBJ590081 TLE590081:TLF590081 TVA590081:TVB590081 UEW590081:UEX590081 UOS590081:UOT590081 UYO590081:UYP590081 VIK590081:VIL590081 VSG590081:VSH590081 WCC590081:WCD590081 WLY590081:WLZ590081 WVU590081:WVV590081 M655617:N655617 JI655617:JJ655617 TE655617:TF655617 ADA655617:ADB655617 AMW655617:AMX655617 AWS655617:AWT655617 BGO655617:BGP655617 BQK655617:BQL655617 CAG655617:CAH655617 CKC655617:CKD655617 CTY655617:CTZ655617 DDU655617:DDV655617 DNQ655617:DNR655617 DXM655617:DXN655617 EHI655617:EHJ655617 ERE655617:ERF655617 FBA655617:FBB655617 FKW655617:FKX655617 FUS655617:FUT655617 GEO655617:GEP655617 GOK655617:GOL655617 GYG655617:GYH655617 HIC655617:HID655617 HRY655617:HRZ655617 IBU655617:IBV655617 ILQ655617:ILR655617 IVM655617:IVN655617 JFI655617:JFJ655617 JPE655617:JPF655617 JZA655617:JZB655617 KIW655617:KIX655617 KSS655617:KST655617 LCO655617:LCP655617 LMK655617:LML655617 LWG655617:LWH655617 MGC655617:MGD655617 MPY655617:MPZ655617 MZU655617:MZV655617 NJQ655617:NJR655617 NTM655617:NTN655617 ODI655617:ODJ655617 ONE655617:ONF655617 OXA655617:OXB655617 PGW655617:PGX655617 PQS655617:PQT655617 QAO655617:QAP655617 QKK655617:QKL655617 QUG655617:QUH655617 REC655617:RED655617 RNY655617:RNZ655617 RXU655617:RXV655617 SHQ655617:SHR655617 SRM655617:SRN655617 TBI655617:TBJ655617 TLE655617:TLF655617 TVA655617:TVB655617 UEW655617:UEX655617 UOS655617:UOT655617 UYO655617:UYP655617 VIK655617:VIL655617 VSG655617:VSH655617 WCC655617:WCD655617 WLY655617:WLZ655617 WVU655617:WVV655617 M721153:N721153 JI721153:JJ721153 TE721153:TF721153 ADA721153:ADB721153 AMW721153:AMX721153 AWS721153:AWT721153 BGO721153:BGP721153 BQK721153:BQL721153 CAG721153:CAH721153 CKC721153:CKD721153 CTY721153:CTZ721153 DDU721153:DDV721153 DNQ721153:DNR721153 DXM721153:DXN721153 EHI721153:EHJ721153 ERE721153:ERF721153 FBA721153:FBB721153 FKW721153:FKX721153 FUS721153:FUT721153 GEO721153:GEP721153 GOK721153:GOL721153 GYG721153:GYH721153 HIC721153:HID721153 HRY721153:HRZ721153 IBU721153:IBV721153 ILQ721153:ILR721153 IVM721153:IVN721153 JFI721153:JFJ721153 JPE721153:JPF721153 JZA721153:JZB721153 KIW721153:KIX721153 KSS721153:KST721153 LCO721153:LCP721153 LMK721153:LML721153 LWG721153:LWH721153 MGC721153:MGD721153 MPY721153:MPZ721153 MZU721153:MZV721153 NJQ721153:NJR721153 NTM721153:NTN721153 ODI721153:ODJ721153 ONE721153:ONF721153 OXA721153:OXB721153 PGW721153:PGX721153 PQS721153:PQT721153 QAO721153:QAP721153 QKK721153:QKL721153 QUG721153:QUH721153 REC721153:RED721153 RNY721153:RNZ721153 RXU721153:RXV721153 SHQ721153:SHR721153 SRM721153:SRN721153 TBI721153:TBJ721153 TLE721153:TLF721153 TVA721153:TVB721153 UEW721153:UEX721153 UOS721153:UOT721153 UYO721153:UYP721153 VIK721153:VIL721153 VSG721153:VSH721153 WCC721153:WCD721153 WLY721153:WLZ721153 WVU721153:WVV721153 M786689:N786689 JI786689:JJ786689 TE786689:TF786689 ADA786689:ADB786689 AMW786689:AMX786689 AWS786689:AWT786689 BGO786689:BGP786689 BQK786689:BQL786689 CAG786689:CAH786689 CKC786689:CKD786689 CTY786689:CTZ786689 DDU786689:DDV786689 DNQ786689:DNR786689 DXM786689:DXN786689 EHI786689:EHJ786689 ERE786689:ERF786689 FBA786689:FBB786689 FKW786689:FKX786689 FUS786689:FUT786689 GEO786689:GEP786689 GOK786689:GOL786689 GYG786689:GYH786689 HIC786689:HID786689 HRY786689:HRZ786689 IBU786689:IBV786689 ILQ786689:ILR786689 IVM786689:IVN786689 JFI786689:JFJ786689 JPE786689:JPF786689 JZA786689:JZB786689 KIW786689:KIX786689 KSS786689:KST786689 LCO786689:LCP786689 LMK786689:LML786689 LWG786689:LWH786689 MGC786689:MGD786689 MPY786689:MPZ786689 MZU786689:MZV786689 NJQ786689:NJR786689 NTM786689:NTN786689 ODI786689:ODJ786689 ONE786689:ONF786689 OXA786689:OXB786689 PGW786689:PGX786689 PQS786689:PQT786689 QAO786689:QAP786689 QKK786689:QKL786689 QUG786689:QUH786689 REC786689:RED786689 RNY786689:RNZ786689 RXU786689:RXV786689 SHQ786689:SHR786689 SRM786689:SRN786689 TBI786689:TBJ786689 TLE786689:TLF786689 TVA786689:TVB786689 UEW786689:UEX786689 UOS786689:UOT786689 UYO786689:UYP786689 VIK786689:VIL786689 VSG786689:VSH786689 WCC786689:WCD786689 WLY786689:WLZ786689 WVU786689:WVV786689 M852225:N852225 JI852225:JJ852225 TE852225:TF852225 ADA852225:ADB852225 AMW852225:AMX852225 AWS852225:AWT852225 BGO852225:BGP852225 BQK852225:BQL852225 CAG852225:CAH852225 CKC852225:CKD852225 CTY852225:CTZ852225 DDU852225:DDV852225 DNQ852225:DNR852225 DXM852225:DXN852225 EHI852225:EHJ852225 ERE852225:ERF852225 FBA852225:FBB852225 FKW852225:FKX852225 FUS852225:FUT852225 GEO852225:GEP852225 GOK852225:GOL852225 GYG852225:GYH852225 HIC852225:HID852225 HRY852225:HRZ852225 IBU852225:IBV852225 ILQ852225:ILR852225 IVM852225:IVN852225 JFI852225:JFJ852225 JPE852225:JPF852225 JZA852225:JZB852225 KIW852225:KIX852225 KSS852225:KST852225 LCO852225:LCP852225 LMK852225:LML852225 LWG852225:LWH852225 MGC852225:MGD852225 MPY852225:MPZ852225 MZU852225:MZV852225 NJQ852225:NJR852225 NTM852225:NTN852225 ODI852225:ODJ852225 ONE852225:ONF852225 OXA852225:OXB852225 PGW852225:PGX852225 PQS852225:PQT852225 QAO852225:QAP852225 QKK852225:QKL852225 QUG852225:QUH852225 REC852225:RED852225 RNY852225:RNZ852225 RXU852225:RXV852225 SHQ852225:SHR852225 SRM852225:SRN852225 TBI852225:TBJ852225 TLE852225:TLF852225 TVA852225:TVB852225 UEW852225:UEX852225 UOS852225:UOT852225 UYO852225:UYP852225 VIK852225:VIL852225 VSG852225:VSH852225 WCC852225:WCD852225 WLY852225:WLZ852225 WVU852225:WVV852225 M917761:N917761 JI917761:JJ917761 TE917761:TF917761 ADA917761:ADB917761 AMW917761:AMX917761 AWS917761:AWT917761 BGO917761:BGP917761 BQK917761:BQL917761 CAG917761:CAH917761 CKC917761:CKD917761 CTY917761:CTZ917761 DDU917761:DDV917761 DNQ917761:DNR917761 DXM917761:DXN917761 EHI917761:EHJ917761 ERE917761:ERF917761 FBA917761:FBB917761 FKW917761:FKX917761 FUS917761:FUT917761 GEO917761:GEP917761 GOK917761:GOL917761 GYG917761:GYH917761 HIC917761:HID917761 HRY917761:HRZ917761 IBU917761:IBV917761 ILQ917761:ILR917761 IVM917761:IVN917761 JFI917761:JFJ917761 JPE917761:JPF917761 JZA917761:JZB917761 KIW917761:KIX917761 KSS917761:KST917761 LCO917761:LCP917761 LMK917761:LML917761 LWG917761:LWH917761 MGC917761:MGD917761 MPY917761:MPZ917761 MZU917761:MZV917761 NJQ917761:NJR917761 NTM917761:NTN917761 ODI917761:ODJ917761 ONE917761:ONF917761 OXA917761:OXB917761 PGW917761:PGX917761 PQS917761:PQT917761 QAO917761:QAP917761 QKK917761:QKL917761 QUG917761:QUH917761 REC917761:RED917761 RNY917761:RNZ917761 RXU917761:RXV917761 SHQ917761:SHR917761 SRM917761:SRN917761 TBI917761:TBJ917761 TLE917761:TLF917761 TVA917761:TVB917761 UEW917761:UEX917761 UOS917761:UOT917761 UYO917761:UYP917761 VIK917761:VIL917761 VSG917761:VSH917761 WCC917761:WCD917761 WLY917761:WLZ917761 WVU917761:WVV917761 M983297:N983297 JI983297:JJ983297 TE983297:TF983297 ADA983297:ADB983297 AMW983297:AMX983297 AWS983297:AWT983297 BGO983297:BGP983297 BQK983297:BQL983297 CAG983297:CAH983297 CKC983297:CKD983297 CTY983297:CTZ983297 DDU983297:DDV983297 DNQ983297:DNR983297 DXM983297:DXN983297 EHI983297:EHJ983297 ERE983297:ERF983297 FBA983297:FBB983297 FKW983297:FKX983297 FUS983297:FUT983297 GEO983297:GEP983297 GOK983297:GOL983297 GYG983297:GYH983297 HIC983297:HID983297 HRY983297:HRZ983297 IBU983297:IBV983297 ILQ983297:ILR983297 IVM983297:IVN983297 JFI983297:JFJ983297 JPE983297:JPF983297 JZA983297:JZB983297 KIW983297:KIX983297 KSS983297:KST983297 LCO983297:LCP983297 LMK983297:LML983297 LWG983297:LWH983297 MGC983297:MGD983297 MPY983297:MPZ983297 MZU983297:MZV983297 NJQ983297:NJR983297 NTM983297:NTN983297 ODI983297:ODJ983297 ONE983297:ONF983297 OXA983297:OXB983297 PGW983297:PGX983297 PQS983297:PQT983297 QAO983297:QAP983297 QKK983297:QKL983297 QUG983297:QUH983297 REC983297:RED983297 RNY983297:RNZ983297 RXU983297:RXV983297 SHQ983297:SHR983297 SRM983297:SRN983297 TBI983297:TBJ983297 TLE983297:TLF983297 TVA983297:TVB983297 UEW983297:UEX983297 UOS983297:UOT983297 UYO983297:UYP983297 VIK983297:VIL983297 VSG983297:VSH983297 WCC983297:WCD983297 WLY983297:WLZ983297 WVU983297:WVV983297 IX535:JG535 ST535:TC535 ACP535:ACY535 AML535:AMU535 AWH535:AWQ535 BGD535:BGM535 BPZ535:BQI535 BZV535:CAE535 CJR535:CKA535 CTN535:CTW535 DDJ535:DDS535 DNF535:DNO535 DXB535:DXK535 EGX535:EHG535 EQT535:ERC535 FAP535:FAY535 FKL535:FKU535 FUH535:FUQ535 GED535:GEM535 GNZ535:GOI535 GXV535:GYE535 HHR535:HIA535 HRN535:HRW535 IBJ535:IBS535 ILF535:ILO535 IVB535:IVK535 JEX535:JFG535 JOT535:JPC535 JYP535:JYY535 KIL535:KIU535 KSH535:KSQ535 LCD535:LCM535 LLZ535:LMI535 LVV535:LWE535 MFR535:MGA535 MPN535:MPW535 MZJ535:MZS535 NJF535:NJO535 NTB535:NTK535 OCX535:ODG535 OMT535:ONC535 OWP535:OWY535 PGL535:PGU535 PQH535:PQQ535 QAD535:QAM535 QJZ535:QKI535 QTV535:QUE535 RDR535:REA535 RNN535:RNW535 RXJ535:RXS535 SHF535:SHO535 SRB535:SRK535 TAX535:TBG535 TKT535:TLC535 TUP535:TUY535 UEL535:UEU535 UOH535:UOQ535 UYD535:UYM535 VHZ535:VII535 VRV535:VSE535 WBR535:WCA535 WLN535:WLW535 WVJ535:WVS535 IX66062:JG66062 ST66062:TC66062 ACP66062:ACY66062 AML66062:AMU66062 AWH66062:AWQ66062 BGD66062:BGM66062 BPZ66062:BQI66062 BZV66062:CAE66062 CJR66062:CKA66062 CTN66062:CTW66062 DDJ66062:DDS66062 DNF66062:DNO66062 DXB66062:DXK66062 EGX66062:EHG66062 EQT66062:ERC66062 FAP66062:FAY66062 FKL66062:FKU66062 FUH66062:FUQ66062 GED66062:GEM66062 GNZ66062:GOI66062 GXV66062:GYE66062 HHR66062:HIA66062 HRN66062:HRW66062 IBJ66062:IBS66062 ILF66062:ILO66062 IVB66062:IVK66062 JEX66062:JFG66062 JOT66062:JPC66062 JYP66062:JYY66062 KIL66062:KIU66062 KSH66062:KSQ66062 LCD66062:LCM66062 LLZ66062:LMI66062 LVV66062:LWE66062 MFR66062:MGA66062 MPN66062:MPW66062 MZJ66062:MZS66062 NJF66062:NJO66062 NTB66062:NTK66062 OCX66062:ODG66062 OMT66062:ONC66062 OWP66062:OWY66062 PGL66062:PGU66062 PQH66062:PQQ66062 QAD66062:QAM66062 QJZ66062:QKI66062 QTV66062:QUE66062 RDR66062:REA66062 RNN66062:RNW66062 RXJ66062:RXS66062 SHF66062:SHO66062 SRB66062:SRK66062 TAX66062:TBG66062 TKT66062:TLC66062 TUP66062:TUY66062 UEL66062:UEU66062 UOH66062:UOQ66062 UYD66062:UYM66062 VHZ66062:VII66062 VRV66062:VSE66062 WBR66062:WCA66062 WLN66062:WLW66062 WVJ66062:WVS66062 IX131598:JG131598 ST131598:TC131598 ACP131598:ACY131598 AML131598:AMU131598 AWH131598:AWQ131598 BGD131598:BGM131598 BPZ131598:BQI131598 BZV131598:CAE131598 CJR131598:CKA131598 CTN131598:CTW131598 DDJ131598:DDS131598 DNF131598:DNO131598 DXB131598:DXK131598 EGX131598:EHG131598 EQT131598:ERC131598 FAP131598:FAY131598 FKL131598:FKU131598 FUH131598:FUQ131598 GED131598:GEM131598 GNZ131598:GOI131598 GXV131598:GYE131598 HHR131598:HIA131598 HRN131598:HRW131598 IBJ131598:IBS131598 ILF131598:ILO131598 IVB131598:IVK131598 JEX131598:JFG131598 JOT131598:JPC131598 JYP131598:JYY131598 KIL131598:KIU131598 KSH131598:KSQ131598 LCD131598:LCM131598 LLZ131598:LMI131598 LVV131598:LWE131598 MFR131598:MGA131598 MPN131598:MPW131598 MZJ131598:MZS131598 NJF131598:NJO131598 NTB131598:NTK131598 OCX131598:ODG131598 OMT131598:ONC131598 OWP131598:OWY131598 PGL131598:PGU131598 PQH131598:PQQ131598 QAD131598:QAM131598 QJZ131598:QKI131598 QTV131598:QUE131598 RDR131598:REA131598 RNN131598:RNW131598 RXJ131598:RXS131598 SHF131598:SHO131598 SRB131598:SRK131598 TAX131598:TBG131598 TKT131598:TLC131598 TUP131598:TUY131598 UEL131598:UEU131598 UOH131598:UOQ131598 UYD131598:UYM131598 VHZ131598:VII131598 VRV131598:VSE131598 WBR131598:WCA131598 WLN131598:WLW131598 WVJ131598:WVS131598 IX197134:JG197134 ST197134:TC197134 ACP197134:ACY197134 AML197134:AMU197134 AWH197134:AWQ197134 BGD197134:BGM197134 BPZ197134:BQI197134 BZV197134:CAE197134 CJR197134:CKA197134 CTN197134:CTW197134 DDJ197134:DDS197134 DNF197134:DNO197134 DXB197134:DXK197134 EGX197134:EHG197134 EQT197134:ERC197134 FAP197134:FAY197134 FKL197134:FKU197134 FUH197134:FUQ197134 GED197134:GEM197134 GNZ197134:GOI197134 GXV197134:GYE197134 HHR197134:HIA197134 HRN197134:HRW197134 IBJ197134:IBS197134 ILF197134:ILO197134 IVB197134:IVK197134 JEX197134:JFG197134 JOT197134:JPC197134 JYP197134:JYY197134 KIL197134:KIU197134 KSH197134:KSQ197134 LCD197134:LCM197134 LLZ197134:LMI197134 LVV197134:LWE197134 MFR197134:MGA197134 MPN197134:MPW197134 MZJ197134:MZS197134 NJF197134:NJO197134 NTB197134:NTK197134 OCX197134:ODG197134 OMT197134:ONC197134 OWP197134:OWY197134 PGL197134:PGU197134 PQH197134:PQQ197134 QAD197134:QAM197134 QJZ197134:QKI197134 QTV197134:QUE197134 RDR197134:REA197134 RNN197134:RNW197134 RXJ197134:RXS197134 SHF197134:SHO197134 SRB197134:SRK197134 TAX197134:TBG197134 TKT197134:TLC197134 TUP197134:TUY197134 UEL197134:UEU197134 UOH197134:UOQ197134 UYD197134:UYM197134 VHZ197134:VII197134 VRV197134:VSE197134 WBR197134:WCA197134 WLN197134:WLW197134 WVJ197134:WVS197134 IX262670:JG262670 ST262670:TC262670 ACP262670:ACY262670 AML262670:AMU262670 AWH262670:AWQ262670 BGD262670:BGM262670 BPZ262670:BQI262670 BZV262670:CAE262670 CJR262670:CKA262670 CTN262670:CTW262670 DDJ262670:DDS262670 DNF262670:DNO262670 DXB262670:DXK262670 EGX262670:EHG262670 EQT262670:ERC262670 FAP262670:FAY262670 FKL262670:FKU262670 FUH262670:FUQ262670 GED262670:GEM262670 GNZ262670:GOI262670 GXV262670:GYE262670 HHR262670:HIA262670 HRN262670:HRW262670 IBJ262670:IBS262670 ILF262670:ILO262670 IVB262670:IVK262670 JEX262670:JFG262670 JOT262670:JPC262670 JYP262670:JYY262670 KIL262670:KIU262670 KSH262670:KSQ262670 LCD262670:LCM262670 LLZ262670:LMI262670 LVV262670:LWE262670 MFR262670:MGA262670 MPN262670:MPW262670 MZJ262670:MZS262670 NJF262670:NJO262670 NTB262670:NTK262670 OCX262670:ODG262670 OMT262670:ONC262670 OWP262670:OWY262670 PGL262670:PGU262670 PQH262670:PQQ262670 QAD262670:QAM262670 QJZ262670:QKI262670 QTV262670:QUE262670 RDR262670:REA262670 RNN262670:RNW262670 RXJ262670:RXS262670 SHF262670:SHO262670 SRB262670:SRK262670 TAX262670:TBG262670 TKT262670:TLC262670 TUP262670:TUY262670 UEL262670:UEU262670 UOH262670:UOQ262670 UYD262670:UYM262670 VHZ262670:VII262670 VRV262670:VSE262670 WBR262670:WCA262670 WLN262670:WLW262670 WVJ262670:WVS262670 IX328206:JG328206 ST328206:TC328206 ACP328206:ACY328206 AML328206:AMU328206 AWH328206:AWQ328206 BGD328206:BGM328206 BPZ328206:BQI328206 BZV328206:CAE328206 CJR328206:CKA328206 CTN328206:CTW328206 DDJ328206:DDS328206 DNF328206:DNO328206 DXB328206:DXK328206 EGX328206:EHG328206 EQT328206:ERC328206 FAP328206:FAY328206 FKL328206:FKU328206 FUH328206:FUQ328206 GED328206:GEM328206 GNZ328206:GOI328206 GXV328206:GYE328206 HHR328206:HIA328206 HRN328206:HRW328206 IBJ328206:IBS328206 ILF328206:ILO328206 IVB328206:IVK328206 JEX328206:JFG328206 JOT328206:JPC328206 JYP328206:JYY328206 KIL328206:KIU328206 KSH328206:KSQ328206 LCD328206:LCM328206 LLZ328206:LMI328206 LVV328206:LWE328206 MFR328206:MGA328206 MPN328206:MPW328206 MZJ328206:MZS328206 NJF328206:NJO328206 NTB328206:NTK328206 OCX328206:ODG328206 OMT328206:ONC328206 OWP328206:OWY328206 PGL328206:PGU328206 PQH328206:PQQ328206 QAD328206:QAM328206 QJZ328206:QKI328206 QTV328206:QUE328206 RDR328206:REA328206 RNN328206:RNW328206 RXJ328206:RXS328206 SHF328206:SHO328206 SRB328206:SRK328206 TAX328206:TBG328206 TKT328206:TLC328206 TUP328206:TUY328206 UEL328206:UEU328206 UOH328206:UOQ328206 UYD328206:UYM328206 VHZ328206:VII328206 VRV328206:VSE328206 WBR328206:WCA328206 WLN328206:WLW328206 WVJ328206:WVS328206 IX393742:JG393742 ST393742:TC393742 ACP393742:ACY393742 AML393742:AMU393742 AWH393742:AWQ393742 BGD393742:BGM393742 BPZ393742:BQI393742 BZV393742:CAE393742 CJR393742:CKA393742 CTN393742:CTW393742 DDJ393742:DDS393742 DNF393742:DNO393742 DXB393742:DXK393742 EGX393742:EHG393742 EQT393742:ERC393742 FAP393742:FAY393742 FKL393742:FKU393742 FUH393742:FUQ393742 GED393742:GEM393742 GNZ393742:GOI393742 GXV393742:GYE393742 HHR393742:HIA393742 HRN393742:HRW393742 IBJ393742:IBS393742 ILF393742:ILO393742 IVB393742:IVK393742 JEX393742:JFG393742 JOT393742:JPC393742 JYP393742:JYY393742 KIL393742:KIU393742 KSH393742:KSQ393742 LCD393742:LCM393742 LLZ393742:LMI393742 LVV393742:LWE393742 MFR393742:MGA393742 MPN393742:MPW393742 MZJ393742:MZS393742 NJF393742:NJO393742 NTB393742:NTK393742 OCX393742:ODG393742 OMT393742:ONC393742 OWP393742:OWY393742 PGL393742:PGU393742 PQH393742:PQQ393742 QAD393742:QAM393742 QJZ393742:QKI393742 QTV393742:QUE393742 RDR393742:REA393742 RNN393742:RNW393742 RXJ393742:RXS393742 SHF393742:SHO393742 SRB393742:SRK393742 TAX393742:TBG393742 TKT393742:TLC393742 TUP393742:TUY393742 UEL393742:UEU393742 UOH393742:UOQ393742 UYD393742:UYM393742 VHZ393742:VII393742 VRV393742:VSE393742 WBR393742:WCA393742 WLN393742:WLW393742 WVJ393742:WVS393742 IX459278:JG459278 ST459278:TC459278 ACP459278:ACY459278 AML459278:AMU459278 AWH459278:AWQ459278 BGD459278:BGM459278 BPZ459278:BQI459278 BZV459278:CAE459278 CJR459278:CKA459278 CTN459278:CTW459278 DDJ459278:DDS459278 DNF459278:DNO459278 DXB459278:DXK459278 EGX459278:EHG459278 EQT459278:ERC459278 FAP459278:FAY459278 FKL459278:FKU459278 FUH459278:FUQ459278 GED459278:GEM459278 GNZ459278:GOI459278 GXV459278:GYE459278 HHR459278:HIA459278 HRN459278:HRW459278 IBJ459278:IBS459278 ILF459278:ILO459278 IVB459278:IVK459278 JEX459278:JFG459278 JOT459278:JPC459278 JYP459278:JYY459278 KIL459278:KIU459278 KSH459278:KSQ459278 LCD459278:LCM459278 LLZ459278:LMI459278 LVV459278:LWE459278 MFR459278:MGA459278 MPN459278:MPW459278 MZJ459278:MZS459278 NJF459278:NJO459278 NTB459278:NTK459278 OCX459278:ODG459278 OMT459278:ONC459278 OWP459278:OWY459278 PGL459278:PGU459278 PQH459278:PQQ459278 QAD459278:QAM459278 QJZ459278:QKI459278 QTV459278:QUE459278 RDR459278:REA459278 RNN459278:RNW459278 RXJ459278:RXS459278 SHF459278:SHO459278 SRB459278:SRK459278 TAX459278:TBG459278 TKT459278:TLC459278 TUP459278:TUY459278 UEL459278:UEU459278 UOH459278:UOQ459278 UYD459278:UYM459278 VHZ459278:VII459278 VRV459278:VSE459278 WBR459278:WCA459278 WLN459278:WLW459278 WVJ459278:WVS459278 IX524814:JG524814 ST524814:TC524814 ACP524814:ACY524814 AML524814:AMU524814 AWH524814:AWQ524814 BGD524814:BGM524814 BPZ524814:BQI524814 BZV524814:CAE524814 CJR524814:CKA524814 CTN524814:CTW524814 DDJ524814:DDS524814 DNF524814:DNO524814 DXB524814:DXK524814 EGX524814:EHG524814 EQT524814:ERC524814 FAP524814:FAY524814 FKL524814:FKU524814 FUH524814:FUQ524814 GED524814:GEM524814 GNZ524814:GOI524814 GXV524814:GYE524814 HHR524814:HIA524814 HRN524814:HRW524814 IBJ524814:IBS524814 ILF524814:ILO524814 IVB524814:IVK524814 JEX524814:JFG524814 JOT524814:JPC524814 JYP524814:JYY524814 KIL524814:KIU524814 KSH524814:KSQ524814 LCD524814:LCM524814 LLZ524814:LMI524814 LVV524814:LWE524814 MFR524814:MGA524814 MPN524814:MPW524814 MZJ524814:MZS524814 NJF524814:NJO524814 NTB524814:NTK524814 OCX524814:ODG524814 OMT524814:ONC524814 OWP524814:OWY524814 PGL524814:PGU524814 PQH524814:PQQ524814 QAD524814:QAM524814 QJZ524814:QKI524814 QTV524814:QUE524814 RDR524814:REA524814 RNN524814:RNW524814 RXJ524814:RXS524814 SHF524814:SHO524814 SRB524814:SRK524814 TAX524814:TBG524814 TKT524814:TLC524814 TUP524814:TUY524814 UEL524814:UEU524814 UOH524814:UOQ524814 UYD524814:UYM524814 VHZ524814:VII524814 VRV524814:VSE524814 WBR524814:WCA524814 WLN524814:WLW524814 WVJ524814:WVS524814 IX590350:JG590350 ST590350:TC590350 ACP590350:ACY590350 AML590350:AMU590350 AWH590350:AWQ590350 BGD590350:BGM590350 BPZ590350:BQI590350 BZV590350:CAE590350 CJR590350:CKA590350 CTN590350:CTW590350 DDJ590350:DDS590350 DNF590350:DNO590350 DXB590350:DXK590350 EGX590350:EHG590350 EQT590350:ERC590350 FAP590350:FAY590350 FKL590350:FKU590350 FUH590350:FUQ590350 GED590350:GEM590350 GNZ590350:GOI590350 GXV590350:GYE590350 HHR590350:HIA590350 HRN590350:HRW590350 IBJ590350:IBS590350 ILF590350:ILO590350 IVB590350:IVK590350 JEX590350:JFG590350 JOT590350:JPC590350 JYP590350:JYY590350 KIL590350:KIU590350 KSH590350:KSQ590350 LCD590350:LCM590350 LLZ590350:LMI590350 LVV590350:LWE590350 MFR590350:MGA590350 MPN590350:MPW590350 MZJ590350:MZS590350 NJF590350:NJO590350 NTB590350:NTK590350 OCX590350:ODG590350 OMT590350:ONC590350 OWP590350:OWY590350 PGL590350:PGU590350 PQH590350:PQQ590350 QAD590350:QAM590350 QJZ590350:QKI590350 QTV590350:QUE590350 RDR590350:REA590350 RNN590350:RNW590350 RXJ590350:RXS590350 SHF590350:SHO590350 SRB590350:SRK590350 TAX590350:TBG590350 TKT590350:TLC590350 TUP590350:TUY590350 UEL590350:UEU590350 UOH590350:UOQ590350 UYD590350:UYM590350 VHZ590350:VII590350 VRV590350:VSE590350 WBR590350:WCA590350 WLN590350:WLW590350 WVJ590350:WVS590350 IX655886:JG655886 ST655886:TC655886 ACP655886:ACY655886 AML655886:AMU655886 AWH655886:AWQ655886 BGD655886:BGM655886 BPZ655886:BQI655886 BZV655886:CAE655886 CJR655886:CKA655886 CTN655886:CTW655886 DDJ655886:DDS655886 DNF655886:DNO655886 DXB655886:DXK655886 EGX655886:EHG655886 EQT655886:ERC655886 FAP655886:FAY655886 FKL655886:FKU655886 FUH655886:FUQ655886 GED655886:GEM655886 GNZ655886:GOI655886 GXV655886:GYE655886 HHR655886:HIA655886 HRN655886:HRW655886 IBJ655886:IBS655886 ILF655886:ILO655886 IVB655886:IVK655886 JEX655886:JFG655886 JOT655886:JPC655886 JYP655886:JYY655886 KIL655886:KIU655886 KSH655886:KSQ655886 LCD655886:LCM655886 LLZ655886:LMI655886 LVV655886:LWE655886 MFR655886:MGA655886 MPN655886:MPW655886 MZJ655886:MZS655886 NJF655886:NJO655886 NTB655886:NTK655886 OCX655886:ODG655886 OMT655886:ONC655886 OWP655886:OWY655886 PGL655886:PGU655886 PQH655886:PQQ655886 QAD655886:QAM655886 QJZ655886:QKI655886 QTV655886:QUE655886 RDR655886:REA655886 RNN655886:RNW655886 RXJ655886:RXS655886 SHF655886:SHO655886 SRB655886:SRK655886 TAX655886:TBG655886 TKT655886:TLC655886 TUP655886:TUY655886 UEL655886:UEU655886 UOH655886:UOQ655886 UYD655886:UYM655886 VHZ655886:VII655886 VRV655886:VSE655886 WBR655886:WCA655886 WLN655886:WLW655886 WVJ655886:WVS655886 IX721422:JG721422 ST721422:TC721422 ACP721422:ACY721422 AML721422:AMU721422 AWH721422:AWQ721422 BGD721422:BGM721422 BPZ721422:BQI721422 BZV721422:CAE721422 CJR721422:CKA721422 CTN721422:CTW721422 DDJ721422:DDS721422 DNF721422:DNO721422 DXB721422:DXK721422 EGX721422:EHG721422 EQT721422:ERC721422 FAP721422:FAY721422 FKL721422:FKU721422 FUH721422:FUQ721422 GED721422:GEM721422 GNZ721422:GOI721422 GXV721422:GYE721422 HHR721422:HIA721422 HRN721422:HRW721422 IBJ721422:IBS721422 ILF721422:ILO721422 IVB721422:IVK721422 JEX721422:JFG721422 JOT721422:JPC721422 JYP721422:JYY721422 KIL721422:KIU721422 KSH721422:KSQ721422 LCD721422:LCM721422 LLZ721422:LMI721422 LVV721422:LWE721422 MFR721422:MGA721422 MPN721422:MPW721422 MZJ721422:MZS721422 NJF721422:NJO721422 NTB721422:NTK721422 OCX721422:ODG721422 OMT721422:ONC721422 OWP721422:OWY721422 PGL721422:PGU721422 PQH721422:PQQ721422 QAD721422:QAM721422 QJZ721422:QKI721422 QTV721422:QUE721422 RDR721422:REA721422 RNN721422:RNW721422 RXJ721422:RXS721422 SHF721422:SHO721422 SRB721422:SRK721422 TAX721422:TBG721422 TKT721422:TLC721422 TUP721422:TUY721422 UEL721422:UEU721422 UOH721422:UOQ721422 UYD721422:UYM721422 VHZ721422:VII721422 VRV721422:VSE721422 WBR721422:WCA721422 WLN721422:WLW721422 WVJ721422:WVS721422 IX786958:JG786958 ST786958:TC786958 ACP786958:ACY786958 AML786958:AMU786958 AWH786958:AWQ786958 BGD786958:BGM786958 BPZ786958:BQI786958 BZV786958:CAE786958 CJR786958:CKA786958 CTN786958:CTW786958 DDJ786958:DDS786958 DNF786958:DNO786958 DXB786958:DXK786958 EGX786958:EHG786958 EQT786958:ERC786958 FAP786958:FAY786958 FKL786958:FKU786958 FUH786958:FUQ786958 GED786958:GEM786958 GNZ786958:GOI786958 GXV786958:GYE786958 HHR786958:HIA786958 HRN786958:HRW786958 IBJ786958:IBS786958 ILF786958:ILO786958 IVB786958:IVK786958 JEX786958:JFG786958 JOT786958:JPC786958 JYP786958:JYY786958 KIL786958:KIU786958 KSH786958:KSQ786958 LCD786958:LCM786958 LLZ786958:LMI786958 LVV786958:LWE786958 MFR786958:MGA786958 MPN786958:MPW786958 MZJ786958:MZS786958 NJF786958:NJO786958 NTB786958:NTK786958 OCX786958:ODG786958 OMT786958:ONC786958 OWP786958:OWY786958 PGL786958:PGU786958 PQH786958:PQQ786958 QAD786958:QAM786958 QJZ786958:QKI786958 QTV786958:QUE786958 RDR786958:REA786958 RNN786958:RNW786958 RXJ786958:RXS786958 SHF786958:SHO786958 SRB786958:SRK786958 TAX786958:TBG786958 TKT786958:TLC786958 TUP786958:TUY786958 UEL786958:UEU786958 UOH786958:UOQ786958 UYD786958:UYM786958 VHZ786958:VII786958 VRV786958:VSE786958 WBR786958:WCA786958 WLN786958:WLW786958 WVJ786958:WVS786958 IX852494:JG852494 ST852494:TC852494 ACP852494:ACY852494 AML852494:AMU852494 AWH852494:AWQ852494 BGD852494:BGM852494 BPZ852494:BQI852494 BZV852494:CAE852494 CJR852494:CKA852494 CTN852494:CTW852494 DDJ852494:DDS852494 DNF852494:DNO852494 DXB852494:DXK852494 EGX852494:EHG852494 EQT852494:ERC852494 FAP852494:FAY852494 FKL852494:FKU852494 FUH852494:FUQ852494 GED852494:GEM852494 GNZ852494:GOI852494 GXV852494:GYE852494 HHR852494:HIA852494 HRN852494:HRW852494 IBJ852494:IBS852494 ILF852494:ILO852494 IVB852494:IVK852494 JEX852494:JFG852494 JOT852494:JPC852494 JYP852494:JYY852494 KIL852494:KIU852494 KSH852494:KSQ852494 LCD852494:LCM852494 LLZ852494:LMI852494 LVV852494:LWE852494 MFR852494:MGA852494 MPN852494:MPW852494 MZJ852494:MZS852494 NJF852494:NJO852494 NTB852494:NTK852494 OCX852494:ODG852494 OMT852494:ONC852494 OWP852494:OWY852494 PGL852494:PGU852494 PQH852494:PQQ852494 QAD852494:QAM852494 QJZ852494:QKI852494 QTV852494:QUE852494 RDR852494:REA852494 RNN852494:RNW852494 RXJ852494:RXS852494 SHF852494:SHO852494 SRB852494:SRK852494 TAX852494:TBG852494 TKT852494:TLC852494 TUP852494:TUY852494 UEL852494:UEU852494 UOH852494:UOQ852494 UYD852494:UYM852494 VHZ852494:VII852494 VRV852494:VSE852494 WBR852494:WCA852494 WLN852494:WLW852494 WVJ852494:WVS852494 IX918030:JG918030 ST918030:TC918030 ACP918030:ACY918030 AML918030:AMU918030 AWH918030:AWQ918030 BGD918030:BGM918030 BPZ918030:BQI918030 BZV918030:CAE918030 CJR918030:CKA918030 CTN918030:CTW918030 DDJ918030:DDS918030 DNF918030:DNO918030 DXB918030:DXK918030 EGX918030:EHG918030 EQT918030:ERC918030 FAP918030:FAY918030 FKL918030:FKU918030 FUH918030:FUQ918030 GED918030:GEM918030 GNZ918030:GOI918030 GXV918030:GYE918030 HHR918030:HIA918030 HRN918030:HRW918030 IBJ918030:IBS918030 ILF918030:ILO918030 IVB918030:IVK918030 JEX918030:JFG918030 JOT918030:JPC918030 JYP918030:JYY918030 KIL918030:KIU918030 KSH918030:KSQ918030 LCD918030:LCM918030 LLZ918030:LMI918030 LVV918030:LWE918030 MFR918030:MGA918030 MPN918030:MPW918030 MZJ918030:MZS918030 NJF918030:NJO918030 NTB918030:NTK918030 OCX918030:ODG918030 OMT918030:ONC918030 OWP918030:OWY918030 PGL918030:PGU918030 PQH918030:PQQ918030 QAD918030:QAM918030 QJZ918030:QKI918030 QTV918030:QUE918030 RDR918030:REA918030 RNN918030:RNW918030 RXJ918030:RXS918030 SHF918030:SHO918030 SRB918030:SRK918030 TAX918030:TBG918030 TKT918030:TLC918030 TUP918030:TUY918030 UEL918030:UEU918030 UOH918030:UOQ918030 UYD918030:UYM918030 VHZ918030:VII918030 VRV918030:VSE918030 WBR918030:WCA918030 WLN918030:WLW918030 WVJ918030:WVS918030 IX983566:JG983566 ST983566:TC983566 ACP983566:ACY983566 AML983566:AMU983566 AWH983566:AWQ983566 BGD983566:BGM983566 BPZ983566:BQI983566 BZV983566:CAE983566 CJR983566:CKA983566 CTN983566:CTW983566 DDJ983566:DDS983566 DNF983566:DNO983566 DXB983566:DXK983566 EGX983566:EHG983566 EQT983566:ERC983566 FAP983566:FAY983566 FKL983566:FKU983566 FUH983566:FUQ983566 GED983566:GEM983566 GNZ983566:GOI983566 GXV983566:GYE983566 HHR983566:HIA983566 HRN983566:HRW983566 IBJ983566:IBS983566 ILF983566:ILO983566 IVB983566:IVK983566 JEX983566:JFG983566 JOT983566:JPC983566 JYP983566:JYY983566 KIL983566:KIU983566 KSH983566:KSQ983566 LCD983566:LCM983566 LLZ983566:LMI983566 LVV983566:LWE983566 MFR983566:MGA983566 MPN983566:MPW983566 MZJ983566:MZS983566 NJF983566:NJO983566 NTB983566:NTK983566 OCX983566:ODG983566 OMT983566:ONC983566 OWP983566:OWY983566 PGL983566:PGU983566 PQH983566:PQQ983566 QAD983566:QAM983566 QJZ983566:QKI983566 QTV983566:QUE983566 RDR983566:REA983566 RNN983566:RNW983566 RXJ983566:RXS983566 SHF983566:SHO983566 SRB983566:SRK983566 TAX983566:TBG983566 TKT983566:TLC983566 TUP983566:TUY983566 UEL983566:UEU983566 UOH983566:UOQ983566 UYD983566:UYM983566 VHZ983566:VII983566 VRV983566:VSE983566 WBR983566:WCA983566 WLN983566:WLW983566 WVJ983566:WVS983566 M241:N241 JI241:JJ241 TE241:TF241 ADA241:ADB241 AMW241:AMX241 AWS241:AWT241 BGO241:BGP241 BQK241:BQL241 CAG241:CAH241 CKC241:CKD241 CTY241:CTZ241 DDU241:DDV241 DNQ241:DNR241 DXM241:DXN241 EHI241:EHJ241 ERE241:ERF241 FBA241:FBB241 FKW241:FKX241 FUS241:FUT241 GEO241:GEP241 GOK241:GOL241 GYG241:GYH241 HIC241:HID241 HRY241:HRZ241 IBU241:IBV241 ILQ241:ILR241 IVM241:IVN241 JFI241:JFJ241 JPE241:JPF241 JZA241:JZB241 KIW241:KIX241 KSS241:KST241 LCO241:LCP241 LMK241:LML241 LWG241:LWH241 MGC241:MGD241 MPY241:MPZ241 MZU241:MZV241 NJQ241:NJR241 NTM241:NTN241 ODI241:ODJ241 ONE241:ONF241 OXA241:OXB241 PGW241:PGX241 PQS241:PQT241 QAO241:QAP241 QKK241:QKL241 QUG241:QUH241 REC241:RED241 RNY241:RNZ241 RXU241:RXV241 SHQ241:SHR241 SRM241:SRN241 TBI241:TBJ241 TLE241:TLF241 TVA241:TVB241 UEW241:UEX241 UOS241:UOT241 UYO241:UYP241 VIK241:VIL241 VSG241:VSH241 WCC241:WCD241 WLY241:WLZ241 WVU241:WVV241 M65781:N65781 JI65781:JJ65781 TE65781:TF65781 ADA65781:ADB65781 AMW65781:AMX65781 AWS65781:AWT65781 BGO65781:BGP65781 BQK65781:BQL65781 CAG65781:CAH65781 CKC65781:CKD65781 CTY65781:CTZ65781 DDU65781:DDV65781 DNQ65781:DNR65781 DXM65781:DXN65781 EHI65781:EHJ65781 ERE65781:ERF65781 FBA65781:FBB65781 FKW65781:FKX65781 FUS65781:FUT65781 GEO65781:GEP65781 GOK65781:GOL65781 GYG65781:GYH65781 HIC65781:HID65781 HRY65781:HRZ65781 IBU65781:IBV65781 ILQ65781:ILR65781 IVM65781:IVN65781 JFI65781:JFJ65781 JPE65781:JPF65781 JZA65781:JZB65781 KIW65781:KIX65781 KSS65781:KST65781 LCO65781:LCP65781 LMK65781:LML65781 LWG65781:LWH65781 MGC65781:MGD65781 MPY65781:MPZ65781 MZU65781:MZV65781 NJQ65781:NJR65781 NTM65781:NTN65781 ODI65781:ODJ65781 ONE65781:ONF65781 OXA65781:OXB65781 PGW65781:PGX65781 PQS65781:PQT65781 QAO65781:QAP65781 QKK65781:QKL65781 QUG65781:QUH65781 REC65781:RED65781 RNY65781:RNZ65781 RXU65781:RXV65781 SHQ65781:SHR65781 SRM65781:SRN65781 TBI65781:TBJ65781 TLE65781:TLF65781 TVA65781:TVB65781 UEW65781:UEX65781 UOS65781:UOT65781 UYO65781:UYP65781 VIK65781:VIL65781 VSG65781:VSH65781 WCC65781:WCD65781 WLY65781:WLZ65781 WVU65781:WVV65781 M131317:N131317 JI131317:JJ131317 TE131317:TF131317 ADA131317:ADB131317 AMW131317:AMX131317 AWS131317:AWT131317 BGO131317:BGP131317 BQK131317:BQL131317 CAG131317:CAH131317 CKC131317:CKD131317 CTY131317:CTZ131317 DDU131317:DDV131317 DNQ131317:DNR131317 DXM131317:DXN131317 EHI131317:EHJ131317 ERE131317:ERF131317 FBA131317:FBB131317 FKW131317:FKX131317 FUS131317:FUT131317 GEO131317:GEP131317 GOK131317:GOL131317 GYG131317:GYH131317 HIC131317:HID131317 HRY131317:HRZ131317 IBU131317:IBV131317 ILQ131317:ILR131317 IVM131317:IVN131317 JFI131317:JFJ131317 JPE131317:JPF131317 JZA131317:JZB131317 KIW131317:KIX131317 KSS131317:KST131317 LCO131317:LCP131317 LMK131317:LML131317 LWG131317:LWH131317 MGC131317:MGD131317 MPY131317:MPZ131317 MZU131317:MZV131317 NJQ131317:NJR131317 NTM131317:NTN131317 ODI131317:ODJ131317 ONE131317:ONF131317 OXA131317:OXB131317 PGW131317:PGX131317 PQS131317:PQT131317 QAO131317:QAP131317 QKK131317:QKL131317 QUG131317:QUH131317 REC131317:RED131317 RNY131317:RNZ131317 RXU131317:RXV131317 SHQ131317:SHR131317 SRM131317:SRN131317 TBI131317:TBJ131317 TLE131317:TLF131317 TVA131317:TVB131317 UEW131317:UEX131317 UOS131317:UOT131317 UYO131317:UYP131317 VIK131317:VIL131317 VSG131317:VSH131317 WCC131317:WCD131317 WLY131317:WLZ131317 WVU131317:WVV131317 M196853:N196853 JI196853:JJ196853 TE196853:TF196853 ADA196853:ADB196853 AMW196853:AMX196853 AWS196853:AWT196853 BGO196853:BGP196853 BQK196853:BQL196853 CAG196853:CAH196853 CKC196853:CKD196853 CTY196853:CTZ196853 DDU196853:DDV196853 DNQ196853:DNR196853 DXM196853:DXN196853 EHI196853:EHJ196853 ERE196853:ERF196853 FBA196853:FBB196853 FKW196853:FKX196853 FUS196853:FUT196853 GEO196853:GEP196853 GOK196853:GOL196853 GYG196853:GYH196853 HIC196853:HID196853 HRY196853:HRZ196853 IBU196853:IBV196853 ILQ196853:ILR196853 IVM196853:IVN196853 JFI196853:JFJ196853 JPE196853:JPF196853 JZA196853:JZB196853 KIW196853:KIX196853 KSS196853:KST196853 LCO196853:LCP196853 LMK196853:LML196853 LWG196853:LWH196853 MGC196853:MGD196853 MPY196853:MPZ196853 MZU196853:MZV196853 NJQ196853:NJR196853 NTM196853:NTN196853 ODI196853:ODJ196853 ONE196853:ONF196853 OXA196853:OXB196853 PGW196853:PGX196853 PQS196853:PQT196853 QAO196853:QAP196853 QKK196853:QKL196853 QUG196853:QUH196853 REC196853:RED196853 RNY196853:RNZ196853 RXU196853:RXV196853 SHQ196853:SHR196853 SRM196853:SRN196853 TBI196853:TBJ196853 TLE196853:TLF196853 TVA196853:TVB196853 UEW196853:UEX196853 UOS196853:UOT196853 UYO196853:UYP196853 VIK196853:VIL196853 VSG196853:VSH196853 WCC196853:WCD196853 WLY196853:WLZ196853 WVU196853:WVV196853 M262389:N262389 JI262389:JJ262389 TE262389:TF262389 ADA262389:ADB262389 AMW262389:AMX262389 AWS262389:AWT262389 BGO262389:BGP262389 BQK262389:BQL262389 CAG262389:CAH262389 CKC262389:CKD262389 CTY262389:CTZ262389 DDU262389:DDV262389 DNQ262389:DNR262389 DXM262389:DXN262389 EHI262389:EHJ262389 ERE262389:ERF262389 FBA262389:FBB262389 FKW262389:FKX262389 FUS262389:FUT262389 GEO262389:GEP262389 GOK262389:GOL262389 GYG262389:GYH262389 HIC262389:HID262389 HRY262389:HRZ262389 IBU262389:IBV262389 ILQ262389:ILR262389 IVM262389:IVN262389 JFI262389:JFJ262389 JPE262389:JPF262389 JZA262389:JZB262389 KIW262389:KIX262389 KSS262389:KST262389 LCO262389:LCP262389 LMK262389:LML262389 LWG262389:LWH262389 MGC262389:MGD262389 MPY262389:MPZ262389 MZU262389:MZV262389 NJQ262389:NJR262389 NTM262389:NTN262389 ODI262389:ODJ262389 ONE262389:ONF262389 OXA262389:OXB262389 PGW262389:PGX262389 PQS262389:PQT262389 QAO262389:QAP262389 QKK262389:QKL262389 QUG262389:QUH262389 REC262389:RED262389 RNY262389:RNZ262389 RXU262389:RXV262389 SHQ262389:SHR262389 SRM262389:SRN262389 TBI262389:TBJ262389 TLE262389:TLF262389 TVA262389:TVB262389 UEW262389:UEX262389 UOS262389:UOT262389 UYO262389:UYP262389 VIK262389:VIL262389 VSG262389:VSH262389 WCC262389:WCD262389 WLY262389:WLZ262389 WVU262389:WVV262389 M327925:N327925 JI327925:JJ327925 TE327925:TF327925 ADA327925:ADB327925 AMW327925:AMX327925 AWS327925:AWT327925 BGO327925:BGP327925 BQK327925:BQL327925 CAG327925:CAH327925 CKC327925:CKD327925 CTY327925:CTZ327925 DDU327925:DDV327925 DNQ327925:DNR327925 DXM327925:DXN327925 EHI327925:EHJ327925 ERE327925:ERF327925 FBA327925:FBB327925 FKW327925:FKX327925 FUS327925:FUT327925 GEO327925:GEP327925 GOK327925:GOL327925 GYG327925:GYH327925 HIC327925:HID327925 HRY327925:HRZ327925 IBU327925:IBV327925 ILQ327925:ILR327925 IVM327925:IVN327925 JFI327925:JFJ327925 JPE327925:JPF327925 JZA327925:JZB327925 KIW327925:KIX327925 KSS327925:KST327925 LCO327925:LCP327925 LMK327925:LML327925 LWG327925:LWH327925 MGC327925:MGD327925 MPY327925:MPZ327925 MZU327925:MZV327925 NJQ327925:NJR327925 NTM327925:NTN327925 ODI327925:ODJ327925 ONE327925:ONF327925 OXA327925:OXB327925 PGW327925:PGX327925 PQS327925:PQT327925 QAO327925:QAP327925 QKK327925:QKL327925 QUG327925:QUH327925 REC327925:RED327925 RNY327925:RNZ327925 RXU327925:RXV327925 SHQ327925:SHR327925 SRM327925:SRN327925 TBI327925:TBJ327925 TLE327925:TLF327925 TVA327925:TVB327925 UEW327925:UEX327925 UOS327925:UOT327925 UYO327925:UYP327925 VIK327925:VIL327925 VSG327925:VSH327925 WCC327925:WCD327925 WLY327925:WLZ327925 WVU327925:WVV327925 M393461:N393461 JI393461:JJ393461 TE393461:TF393461 ADA393461:ADB393461 AMW393461:AMX393461 AWS393461:AWT393461 BGO393461:BGP393461 BQK393461:BQL393461 CAG393461:CAH393461 CKC393461:CKD393461 CTY393461:CTZ393461 DDU393461:DDV393461 DNQ393461:DNR393461 DXM393461:DXN393461 EHI393461:EHJ393461 ERE393461:ERF393461 FBA393461:FBB393461 FKW393461:FKX393461 FUS393461:FUT393461 GEO393461:GEP393461 GOK393461:GOL393461 GYG393461:GYH393461 HIC393461:HID393461 HRY393461:HRZ393461 IBU393461:IBV393461 ILQ393461:ILR393461 IVM393461:IVN393461 JFI393461:JFJ393461 JPE393461:JPF393461 JZA393461:JZB393461 KIW393461:KIX393461 KSS393461:KST393461 LCO393461:LCP393461 LMK393461:LML393461 LWG393461:LWH393461 MGC393461:MGD393461 MPY393461:MPZ393461 MZU393461:MZV393461 NJQ393461:NJR393461 NTM393461:NTN393461 ODI393461:ODJ393461 ONE393461:ONF393461 OXA393461:OXB393461 PGW393461:PGX393461 PQS393461:PQT393461 QAO393461:QAP393461 QKK393461:QKL393461 QUG393461:QUH393461 REC393461:RED393461 RNY393461:RNZ393461 RXU393461:RXV393461 SHQ393461:SHR393461 SRM393461:SRN393461 TBI393461:TBJ393461 TLE393461:TLF393461 TVA393461:TVB393461 UEW393461:UEX393461 UOS393461:UOT393461 UYO393461:UYP393461 VIK393461:VIL393461 VSG393461:VSH393461 WCC393461:WCD393461 WLY393461:WLZ393461 WVU393461:WVV393461 M458997:N458997 JI458997:JJ458997 TE458997:TF458997 ADA458997:ADB458997 AMW458997:AMX458997 AWS458997:AWT458997 BGO458997:BGP458997 BQK458997:BQL458997 CAG458997:CAH458997 CKC458997:CKD458997 CTY458997:CTZ458997 DDU458997:DDV458997 DNQ458997:DNR458997 DXM458997:DXN458997 EHI458997:EHJ458997 ERE458997:ERF458997 FBA458997:FBB458997 FKW458997:FKX458997 FUS458997:FUT458997 GEO458997:GEP458997 GOK458997:GOL458997 GYG458997:GYH458997 HIC458997:HID458997 HRY458997:HRZ458997 IBU458997:IBV458997 ILQ458997:ILR458997 IVM458997:IVN458997 JFI458997:JFJ458997 JPE458997:JPF458997 JZA458997:JZB458997 KIW458997:KIX458997 KSS458997:KST458997 LCO458997:LCP458997 LMK458997:LML458997 LWG458997:LWH458997 MGC458997:MGD458997 MPY458997:MPZ458997 MZU458997:MZV458997 NJQ458997:NJR458997 NTM458997:NTN458997 ODI458997:ODJ458997 ONE458997:ONF458997 OXA458997:OXB458997 PGW458997:PGX458997 PQS458997:PQT458997 QAO458997:QAP458997 QKK458997:QKL458997 QUG458997:QUH458997 REC458997:RED458997 RNY458997:RNZ458997 RXU458997:RXV458997 SHQ458997:SHR458997 SRM458997:SRN458997 TBI458997:TBJ458997 TLE458997:TLF458997 TVA458997:TVB458997 UEW458997:UEX458997 UOS458997:UOT458997 UYO458997:UYP458997 VIK458997:VIL458997 VSG458997:VSH458997 WCC458997:WCD458997 WLY458997:WLZ458997 WVU458997:WVV458997 M524533:N524533 JI524533:JJ524533 TE524533:TF524533 ADA524533:ADB524533 AMW524533:AMX524533 AWS524533:AWT524533 BGO524533:BGP524533 BQK524533:BQL524533 CAG524533:CAH524533 CKC524533:CKD524533 CTY524533:CTZ524533 DDU524533:DDV524533 DNQ524533:DNR524533 DXM524533:DXN524533 EHI524533:EHJ524533 ERE524533:ERF524533 FBA524533:FBB524533 FKW524533:FKX524533 FUS524533:FUT524533 GEO524533:GEP524533 GOK524533:GOL524533 GYG524533:GYH524533 HIC524533:HID524533 HRY524533:HRZ524533 IBU524533:IBV524533 ILQ524533:ILR524533 IVM524533:IVN524533 JFI524533:JFJ524533 JPE524533:JPF524533 JZA524533:JZB524533 KIW524533:KIX524533 KSS524533:KST524533 LCO524533:LCP524533 LMK524533:LML524533 LWG524533:LWH524533 MGC524533:MGD524533 MPY524533:MPZ524533 MZU524533:MZV524533 NJQ524533:NJR524533 NTM524533:NTN524533 ODI524533:ODJ524533 ONE524533:ONF524533 OXA524533:OXB524533 PGW524533:PGX524533 PQS524533:PQT524533 QAO524533:QAP524533 QKK524533:QKL524533 QUG524533:QUH524533 REC524533:RED524533 RNY524533:RNZ524533 RXU524533:RXV524533 SHQ524533:SHR524533 SRM524533:SRN524533 TBI524533:TBJ524533 TLE524533:TLF524533 TVA524533:TVB524533 UEW524533:UEX524533 UOS524533:UOT524533 UYO524533:UYP524533 VIK524533:VIL524533 VSG524533:VSH524533 WCC524533:WCD524533 WLY524533:WLZ524533 WVU524533:WVV524533 M590069:N590069 JI590069:JJ590069 TE590069:TF590069 ADA590069:ADB590069 AMW590069:AMX590069 AWS590069:AWT590069 BGO590069:BGP590069 BQK590069:BQL590069 CAG590069:CAH590069 CKC590069:CKD590069 CTY590069:CTZ590069 DDU590069:DDV590069 DNQ590069:DNR590069 DXM590069:DXN590069 EHI590069:EHJ590069 ERE590069:ERF590069 FBA590069:FBB590069 FKW590069:FKX590069 FUS590069:FUT590069 GEO590069:GEP590069 GOK590069:GOL590069 GYG590069:GYH590069 HIC590069:HID590069 HRY590069:HRZ590069 IBU590069:IBV590069 ILQ590069:ILR590069 IVM590069:IVN590069 JFI590069:JFJ590069 JPE590069:JPF590069 JZA590069:JZB590069 KIW590069:KIX590069 KSS590069:KST590069 LCO590069:LCP590069 LMK590069:LML590069 LWG590069:LWH590069 MGC590069:MGD590069 MPY590069:MPZ590069 MZU590069:MZV590069 NJQ590069:NJR590069 NTM590069:NTN590069 ODI590069:ODJ590069 ONE590069:ONF590069 OXA590069:OXB590069 PGW590069:PGX590069 PQS590069:PQT590069 QAO590069:QAP590069 QKK590069:QKL590069 QUG590069:QUH590069 REC590069:RED590069 RNY590069:RNZ590069 RXU590069:RXV590069 SHQ590069:SHR590069 SRM590069:SRN590069 TBI590069:TBJ590069 TLE590069:TLF590069 TVA590069:TVB590069 UEW590069:UEX590069 UOS590069:UOT590069 UYO590069:UYP590069 VIK590069:VIL590069 VSG590069:VSH590069 WCC590069:WCD590069 WLY590069:WLZ590069 WVU590069:WVV590069 M655605:N655605 JI655605:JJ655605 TE655605:TF655605 ADA655605:ADB655605 AMW655605:AMX655605 AWS655605:AWT655605 BGO655605:BGP655605 BQK655605:BQL655605 CAG655605:CAH655605 CKC655605:CKD655605 CTY655605:CTZ655605 DDU655605:DDV655605 DNQ655605:DNR655605 DXM655605:DXN655605 EHI655605:EHJ655605 ERE655605:ERF655605 FBA655605:FBB655605 FKW655605:FKX655605 FUS655605:FUT655605 GEO655605:GEP655605 GOK655605:GOL655605 GYG655605:GYH655605 HIC655605:HID655605 HRY655605:HRZ655605 IBU655605:IBV655605 ILQ655605:ILR655605 IVM655605:IVN655605 JFI655605:JFJ655605 JPE655605:JPF655605 JZA655605:JZB655605 KIW655605:KIX655605 KSS655605:KST655605 LCO655605:LCP655605 LMK655605:LML655605 LWG655605:LWH655605 MGC655605:MGD655605 MPY655605:MPZ655605 MZU655605:MZV655605 NJQ655605:NJR655605 NTM655605:NTN655605 ODI655605:ODJ655605 ONE655605:ONF655605 OXA655605:OXB655605 PGW655605:PGX655605 PQS655605:PQT655605 QAO655605:QAP655605 QKK655605:QKL655605 QUG655605:QUH655605 REC655605:RED655605 RNY655605:RNZ655605 RXU655605:RXV655605 SHQ655605:SHR655605 SRM655605:SRN655605 TBI655605:TBJ655605 TLE655605:TLF655605 TVA655605:TVB655605 UEW655605:UEX655605 UOS655605:UOT655605 UYO655605:UYP655605 VIK655605:VIL655605 VSG655605:VSH655605 WCC655605:WCD655605 WLY655605:WLZ655605 WVU655605:WVV655605 M721141:N721141 JI721141:JJ721141 TE721141:TF721141 ADA721141:ADB721141 AMW721141:AMX721141 AWS721141:AWT721141 BGO721141:BGP721141 BQK721141:BQL721141 CAG721141:CAH721141 CKC721141:CKD721141 CTY721141:CTZ721141 DDU721141:DDV721141 DNQ721141:DNR721141 DXM721141:DXN721141 EHI721141:EHJ721141 ERE721141:ERF721141 FBA721141:FBB721141 FKW721141:FKX721141 FUS721141:FUT721141 GEO721141:GEP721141 GOK721141:GOL721141 GYG721141:GYH721141 HIC721141:HID721141 HRY721141:HRZ721141 IBU721141:IBV721141 ILQ721141:ILR721141 IVM721141:IVN721141 JFI721141:JFJ721141 JPE721141:JPF721141 JZA721141:JZB721141 KIW721141:KIX721141 KSS721141:KST721141 LCO721141:LCP721141 LMK721141:LML721141 LWG721141:LWH721141 MGC721141:MGD721141 MPY721141:MPZ721141 MZU721141:MZV721141 NJQ721141:NJR721141 NTM721141:NTN721141 ODI721141:ODJ721141 ONE721141:ONF721141 OXA721141:OXB721141 PGW721141:PGX721141 PQS721141:PQT721141 QAO721141:QAP721141 QKK721141:QKL721141 QUG721141:QUH721141 REC721141:RED721141 RNY721141:RNZ721141 RXU721141:RXV721141 SHQ721141:SHR721141 SRM721141:SRN721141 TBI721141:TBJ721141 TLE721141:TLF721141 TVA721141:TVB721141 UEW721141:UEX721141 UOS721141:UOT721141 UYO721141:UYP721141 VIK721141:VIL721141 VSG721141:VSH721141 WCC721141:WCD721141 WLY721141:WLZ721141 WVU721141:WVV721141 M786677:N786677 JI786677:JJ786677 TE786677:TF786677 ADA786677:ADB786677 AMW786677:AMX786677 AWS786677:AWT786677 BGO786677:BGP786677 BQK786677:BQL786677 CAG786677:CAH786677 CKC786677:CKD786677 CTY786677:CTZ786677 DDU786677:DDV786677 DNQ786677:DNR786677 DXM786677:DXN786677 EHI786677:EHJ786677 ERE786677:ERF786677 FBA786677:FBB786677 FKW786677:FKX786677 FUS786677:FUT786677 GEO786677:GEP786677 GOK786677:GOL786677 GYG786677:GYH786677 HIC786677:HID786677 HRY786677:HRZ786677 IBU786677:IBV786677 ILQ786677:ILR786677 IVM786677:IVN786677 JFI786677:JFJ786677 JPE786677:JPF786677 JZA786677:JZB786677 KIW786677:KIX786677 KSS786677:KST786677 LCO786677:LCP786677 LMK786677:LML786677 LWG786677:LWH786677 MGC786677:MGD786677 MPY786677:MPZ786677 MZU786677:MZV786677 NJQ786677:NJR786677 NTM786677:NTN786677 ODI786677:ODJ786677 ONE786677:ONF786677 OXA786677:OXB786677 PGW786677:PGX786677 PQS786677:PQT786677 QAO786677:QAP786677 QKK786677:QKL786677 QUG786677:QUH786677 REC786677:RED786677 RNY786677:RNZ786677 RXU786677:RXV786677 SHQ786677:SHR786677 SRM786677:SRN786677 TBI786677:TBJ786677 TLE786677:TLF786677 TVA786677:TVB786677 UEW786677:UEX786677 UOS786677:UOT786677 UYO786677:UYP786677 VIK786677:VIL786677 VSG786677:VSH786677 WCC786677:WCD786677 WLY786677:WLZ786677 WVU786677:WVV786677 M852213:N852213 JI852213:JJ852213 TE852213:TF852213 ADA852213:ADB852213 AMW852213:AMX852213 AWS852213:AWT852213 BGO852213:BGP852213 BQK852213:BQL852213 CAG852213:CAH852213 CKC852213:CKD852213 CTY852213:CTZ852213 DDU852213:DDV852213 DNQ852213:DNR852213 DXM852213:DXN852213 EHI852213:EHJ852213 ERE852213:ERF852213 FBA852213:FBB852213 FKW852213:FKX852213 FUS852213:FUT852213 GEO852213:GEP852213 GOK852213:GOL852213 GYG852213:GYH852213 HIC852213:HID852213 HRY852213:HRZ852213 IBU852213:IBV852213 ILQ852213:ILR852213 IVM852213:IVN852213 JFI852213:JFJ852213 JPE852213:JPF852213 JZA852213:JZB852213 KIW852213:KIX852213 KSS852213:KST852213 LCO852213:LCP852213 LMK852213:LML852213 LWG852213:LWH852213 MGC852213:MGD852213 MPY852213:MPZ852213 MZU852213:MZV852213 NJQ852213:NJR852213 NTM852213:NTN852213 ODI852213:ODJ852213 ONE852213:ONF852213 OXA852213:OXB852213 PGW852213:PGX852213 PQS852213:PQT852213 QAO852213:QAP852213 QKK852213:QKL852213 QUG852213:QUH852213 REC852213:RED852213 RNY852213:RNZ852213 RXU852213:RXV852213 SHQ852213:SHR852213 SRM852213:SRN852213 TBI852213:TBJ852213 TLE852213:TLF852213 TVA852213:TVB852213 UEW852213:UEX852213 UOS852213:UOT852213 UYO852213:UYP852213 VIK852213:VIL852213 VSG852213:VSH852213 WCC852213:WCD852213 WLY852213:WLZ852213 WVU852213:WVV852213 M917749:N917749 JI917749:JJ917749 TE917749:TF917749 ADA917749:ADB917749 AMW917749:AMX917749 AWS917749:AWT917749 BGO917749:BGP917749 BQK917749:BQL917749 CAG917749:CAH917749 CKC917749:CKD917749 CTY917749:CTZ917749 DDU917749:DDV917749 DNQ917749:DNR917749 DXM917749:DXN917749 EHI917749:EHJ917749 ERE917749:ERF917749 FBA917749:FBB917749 FKW917749:FKX917749 FUS917749:FUT917749 GEO917749:GEP917749 GOK917749:GOL917749 GYG917749:GYH917749 HIC917749:HID917749 HRY917749:HRZ917749 IBU917749:IBV917749 ILQ917749:ILR917749 IVM917749:IVN917749 JFI917749:JFJ917749 JPE917749:JPF917749 JZA917749:JZB917749 KIW917749:KIX917749 KSS917749:KST917749 LCO917749:LCP917749 LMK917749:LML917749 LWG917749:LWH917749 MGC917749:MGD917749 MPY917749:MPZ917749 MZU917749:MZV917749 NJQ917749:NJR917749 NTM917749:NTN917749 ODI917749:ODJ917749 ONE917749:ONF917749 OXA917749:OXB917749 PGW917749:PGX917749 PQS917749:PQT917749 QAO917749:QAP917749 QKK917749:QKL917749 QUG917749:QUH917749 REC917749:RED917749 RNY917749:RNZ917749 RXU917749:RXV917749 SHQ917749:SHR917749 SRM917749:SRN917749 TBI917749:TBJ917749 TLE917749:TLF917749 TVA917749:TVB917749 UEW917749:UEX917749 UOS917749:UOT917749 UYO917749:UYP917749 VIK917749:VIL917749 VSG917749:VSH917749 WCC917749:WCD917749 WLY917749:WLZ917749 WVU917749:WVV917749 M983285:N983285 JI983285:JJ983285 TE983285:TF983285 ADA983285:ADB983285 AMW983285:AMX983285 AWS983285:AWT983285 BGO983285:BGP983285 BQK983285:BQL983285 CAG983285:CAH983285 CKC983285:CKD983285 CTY983285:CTZ983285 DDU983285:DDV983285 DNQ983285:DNR983285 DXM983285:DXN983285 EHI983285:EHJ983285 ERE983285:ERF983285 FBA983285:FBB983285 FKW983285:FKX983285 FUS983285:FUT983285 GEO983285:GEP983285 GOK983285:GOL983285 GYG983285:GYH983285 HIC983285:HID983285 HRY983285:HRZ983285 IBU983285:IBV983285 ILQ983285:ILR983285 IVM983285:IVN983285 JFI983285:JFJ983285 JPE983285:JPF983285 JZA983285:JZB983285 KIW983285:KIX983285 KSS983285:KST983285 LCO983285:LCP983285 LMK983285:LML983285 LWG983285:LWH983285 MGC983285:MGD983285 MPY983285:MPZ983285 MZU983285:MZV983285 NJQ983285:NJR983285 NTM983285:NTN983285 ODI983285:ODJ983285 ONE983285:ONF983285 OXA983285:OXB983285 PGW983285:PGX983285 PQS983285:PQT983285 QAO983285:QAP983285 QKK983285:QKL983285 QUG983285:QUH983285 REC983285:RED983285 RNY983285:RNZ983285 RXU983285:RXV983285 SHQ983285:SHR983285 SRM983285:SRN983285 TBI983285:TBJ983285 TLE983285:TLF983285 TVA983285:TVB983285 UEW983285:UEX983285 UOS983285:UOT983285 UYO983285:UYP983285 VIK983285:VIL983285 VSG983285:VSH983285 WCC983285:WCD983285 WLY983285:WLZ983285 WVU983285:WVV983285 IY256:JJ256 SU256:TF256 ACQ256:ADB256 AMM256:AMX256 AWI256:AWT256 BGE256:BGP256 BQA256:BQL256 BZW256:CAH256 CJS256:CKD256 CTO256:CTZ256 DDK256:DDV256 DNG256:DNR256 DXC256:DXN256 EGY256:EHJ256 EQU256:ERF256 FAQ256:FBB256 FKM256:FKX256 FUI256:FUT256 GEE256:GEP256 GOA256:GOL256 GXW256:GYH256 HHS256:HID256 HRO256:HRZ256 IBK256:IBV256 ILG256:ILR256 IVC256:IVN256 JEY256:JFJ256 JOU256:JPF256 JYQ256:JZB256 KIM256:KIX256 KSI256:KST256 LCE256:LCP256 LMA256:LML256 LVW256:LWH256 MFS256:MGD256 MPO256:MPZ256 MZK256:MZV256 NJG256:NJR256 NTC256:NTN256 OCY256:ODJ256 OMU256:ONF256 OWQ256:OXB256 PGM256:PGX256 PQI256:PQT256 QAE256:QAP256 QKA256:QKL256 QTW256:QUH256 RDS256:RED256 RNO256:RNZ256 RXK256:RXV256 SHG256:SHR256 SRC256:SRN256 TAY256:TBJ256 TKU256:TLF256 TUQ256:TVB256 UEM256:UEX256 UOI256:UOT256 UYE256:UYP256 VIA256:VIL256 VRW256:VSH256 WBS256:WCD256 WLO256:WLZ256 WVK256:WVV256 IY65796:JJ65796 SU65796:TF65796 ACQ65796:ADB65796 AMM65796:AMX65796 AWI65796:AWT65796 BGE65796:BGP65796 BQA65796:BQL65796 BZW65796:CAH65796 CJS65796:CKD65796 CTO65796:CTZ65796 DDK65796:DDV65796 DNG65796:DNR65796 DXC65796:DXN65796 EGY65796:EHJ65796 EQU65796:ERF65796 FAQ65796:FBB65796 FKM65796:FKX65796 FUI65796:FUT65796 GEE65796:GEP65796 GOA65796:GOL65796 GXW65796:GYH65796 HHS65796:HID65796 HRO65796:HRZ65796 IBK65796:IBV65796 ILG65796:ILR65796 IVC65796:IVN65796 JEY65796:JFJ65796 JOU65796:JPF65796 JYQ65796:JZB65796 KIM65796:KIX65796 KSI65796:KST65796 LCE65796:LCP65796 LMA65796:LML65796 LVW65796:LWH65796 MFS65796:MGD65796 MPO65796:MPZ65796 MZK65796:MZV65796 NJG65796:NJR65796 NTC65796:NTN65796 OCY65796:ODJ65796 OMU65796:ONF65796 OWQ65796:OXB65796 PGM65796:PGX65796 PQI65796:PQT65796 QAE65796:QAP65796 QKA65796:QKL65796 QTW65796:QUH65796 RDS65796:RED65796 RNO65796:RNZ65796 RXK65796:RXV65796 SHG65796:SHR65796 SRC65796:SRN65796 TAY65796:TBJ65796 TKU65796:TLF65796 TUQ65796:TVB65796 UEM65796:UEX65796 UOI65796:UOT65796 UYE65796:UYP65796 VIA65796:VIL65796 VRW65796:VSH65796 WBS65796:WCD65796 WLO65796:WLZ65796 WVK65796:WVV65796 IY131332:JJ131332 SU131332:TF131332 ACQ131332:ADB131332 AMM131332:AMX131332 AWI131332:AWT131332 BGE131332:BGP131332 BQA131332:BQL131332 BZW131332:CAH131332 CJS131332:CKD131332 CTO131332:CTZ131332 DDK131332:DDV131332 DNG131332:DNR131332 DXC131332:DXN131332 EGY131332:EHJ131332 EQU131332:ERF131332 FAQ131332:FBB131332 FKM131332:FKX131332 FUI131332:FUT131332 GEE131332:GEP131332 GOA131332:GOL131332 GXW131332:GYH131332 HHS131332:HID131332 HRO131332:HRZ131332 IBK131332:IBV131332 ILG131332:ILR131332 IVC131332:IVN131332 JEY131332:JFJ131332 JOU131332:JPF131332 JYQ131332:JZB131332 KIM131332:KIX131332 KSI131332:KST131332 LCE131332:LCP131332 LMA131332:LML131332 LVW131332:LWH131332 MFS131332:MGD131332 MPO131332:MPZ131332 MZK131332:MZV131332 NJG131332:NJR131332 NTC131332:NTN131332 OCY131332:ODJ131332 OMU131332:ONF131332 OWQ131332:OXB131332 PGM131332:PGX131332 PQI131332:PQT131332 QAE131332:QAP131332 QKA131332:QKL131332 QTW131332:QUH131332 RDS131332:RED131332 RNO131332:RNZ131332 RXK131332:RXV131332 SHG131332:SHR131332 SRC131332:SRN131332 TAY131332:TBJ131332 TKU131332:TLF131332 TUQ131332:TVB131332 UEM131332:UEX131332 UOI131332:UOT131332 UYE131332:UYP131332 VIA131332:VIL131332 VRW131332:VSH131332 WBS131332:WCD131332 WLO131332:WLZ131332 WVK131332:WVV131332 IY196868:JJ196868 SU196868:TF196868 ACQ196868:ADB196868 AMM196868:AMX196868 AWI196868:AWT196868 BGE196868:BGP196868 BQA196868:BQL196868 BZW196868:CAH196868 CJS196868:CKD196868 CTO196868:CTZ196868 DDK196868:DDV196868 DNG196868:DNR196868 DXC196868:DXN196868 EGY196868:EHJ196868 EQU196868:ERF196868 FAQ196868:FBB196868 FKM196868:FKX196868 FUI196868:FUT196868 GEE196868:GEP196868 GOA196868:GOL196868 GXW196868:GYH196868 HHS196868:HID196868 HRO196868:HRZ196868 IBK196868:IBV196868 ILG196868:ILR196868 IVC196868:IVN196868 JEY196868:JFJ196868 JOU196868:JPF196868 JYQ196868:JZB196868 KIM196868:KIX196868 KSI196868:KST196868 LCE196868:LCP196868 LMA196868:LML196868 LVW196868:LWH196868 MFS196868:MGD196868 MPO196868:MPZ196868 MZK196868:MZV196868 NJG196868:NJR196868 NTC196868:NTN196868 OCY196868:ODJ196868 OMU196868:ONF196868 OWQ196868:OXB196868 PGM196868:PGX196868 PQI196868:PQT196868 QAE196868:QAP196868 QKA196868:QKL196868 QTW196868:QUH196868 RDS196868:RED196868 RNO196868:RNZ196868 RXK196868:RXV196868 SHG196868:SHR196868 SRC196868:SRN196868 TAY196868:TBJ196868 TKU196868:TLF196868 TUQ196868:TVB196868 UEM196868:UEX196868 UOI196868:UOT196868 UYE196868:UYP196868 VIA196868:VIL196868 VRW196868:VSH196868 WBS196868:WCD196868 WLO196868:WLZ196868 WVK196868:WVV196868 IY262404:JJ262404 SU262404:TF262404 ACQ262404:ADB262404 AMM262404:AMX262404 AWI262404:AWT262404 BGE262404:BGP262404 BQA262404:BQL262404 BZW262404:CAH262404 CJS262404:CKD262404 CTO262404:CTZ262404 DDK262404:DDV262404 DNG262404:DNR262404 DXC262404:DXN262404 EGY262404:EHJ262404 EQU262404:ERF262404 FAQ262404:FBB262404 FKM262404:FKX262404 FUI262404:FUT262404 GEE262404:GEP262404 GOA262404:GOL262404 GXW262404:GYH262404 HHS262404:HID262404 HRO262404:HRZ262404 IBK262404:IBV262404 ILG262404:ILR262404 IVC262404:IVN262404 JEY262404:JFJ262404 JOU262404:JPF262404 JYQ262404:JZB262404 KIM262404:KIX262404 KSI262404:KST262404 LCE262404:LCP262404 LMA262404:LML262404 LVW262404:LWH262404 MFS262404:MGD262404 MPO262404:MPZ262404 MZK262404:MZV262404 NJG262404:NJR262404 NTC262404:NTN262404 OCY262404:ODJ262404 OMU262404:ONF262404 OWQ262404:OXB262404 PGM262404:PGX262404 PQI262404:PQT262404 QAE262404:QAP262404 QKA262404:QKL262404 QTW262404:QUH262404 RDS262404:RED262404 RNO262404:RNZ262404 RXK262404:RXV262404 SHG262404:SHR262404 SRC262404:SRN262404 TAY262404:TBJ262404 TKU262404:TLF262404 TUQ262404:TVB262404 UEM262404:UEX262404 UOI262404:UOT262404 UYE262404:UYP262404 VIA262404:VIL262404 VRW262404:VSH262404 WBS262404:WCD262404 WLO262404:WLZ262404 WVK262404:WVV262404 IY327940:JJ327940 SU327940:TF327940 ACQ327940:ADB327940 AMM327940:AMX327940 AWI327940:AWT327940 BGE327940:BGP327940 BQA327940:BQL327940 BZW327940:CAH327940 CJS327940:CKD327940 CTO327940:CTZ327940 DDK327940:DDV327940 DNG327940:DNR327940 DXC327940:DXN327940 EGY327940:EHJ327940 EQU327940:ERF327940 FAQ327940:FBB327940 FKM327940:FKX327940 FUI327940:FUT327940 GEE327940:GEP327940 GOA327940:GOL327940 GXW327940:GYH327940 HHS327940:HID327940 HRO327940:HRZ327940 IBK327940:IBV327940 ILG327940:ILR327940 IVC327940:IVN327940 JEY327940:JFJ327940 JOU327940:JPF327940 JYQ327940:JZB327940 KIM327940:KIX327940 KSI327940:KST327940 LCE327940:LCP327940 LMA327940:LML327940 LVW327940:LWH327940 MFS327940:MGD327940 MPO327940:MPZ327940 MZK327940:MZV327940 NJG327940:NJR327940 NTC327940:NTN327940 OCY327940:ODJ327940 OMU327940:ONF327940 OWQ327940:OXB327940 PGM327940:PGX327940 PQI327940:PQT327940 QAE327940:QAP327940 QKA327940:QKL327940 QTW327940:QUH327940 RDS327940:RED327940 RNO327940:RNZ327940 RXK327940:RXV327940 SHG327940:SHR327940 SRC327940:SRN327940 TAY327940:TBJ327940 TKU327940:TLF327940 TUQ327940:TVB327940 UEM327940:UEX327940 UOI327940:UOT327940 UYE327940:UYP327940 VIA327940:VIL327940 VRW327940:VSH327940 WBS327940:WCD327940 WLO327940:WLZ327940 WVK327940:WVV327940 IY393476:JJ393476 SU393476:TF393476 ACQ393476:ADB393476 AMM393476:AMX393476 AWI393476:AWT393476 BGE393476:BGP393476 BQA393476:BQL393476 BZW393476:CAH393476 CJS393476:CKD393476 CTO393476:CTZ393476 DDK393476:DDV393476 DNG393476:DNR393476 DXC393476:DXN393476 EGY393476:EHJ393476 EQU393476:ERF393476 FAQ393476:FBB393476 FKM393476:FKX393476 FUI393476:FUT393476 GEE393476:GEP393476 GOA393476:GOL393476 GXW393476:GYH393476 HHS393476:HID393476 HRO393476:HRZ393476 IBK393476:IBV393476 ILG393476:ILR393476 IVC393476:IVN393476 JEY393476:JFJ393476 JOU393476:JPF393476 JYQ393476:JZB393476 KIM393476:KIX393476 KSI393476:KST393476 LCE393476:LCP393476 LMA393476:LML393476 LVW393476:LWH393476 MFS393476:MGD393476 MPO393476:MPZ393476 MZK393476:MZV393476 NJG393476:NJR393476 NTC393476:NTN393476 OCY393476:ODJ393476 OMU393476:ONF393476 OWQ393476:OXB393476 PGM393476:PGX393476 PQI393476:PQT393476 QAE393476:QAP393476 QKA393476:QKL393476 QTW393476:QUH393476 RDS393476:RED393476 RNO393476:RNZ393476 RXK393476:RXV393476 SHG393476:SHR393476 SRC393476:SRN393476 TAY393476:TBJ393476 TKU393476:TLF393476 TUQ393476:TVB393476 UEM393476:UEX393476 UOI393476:UOT393476 UYE393476:UYP393476 VIA393476:VIL393476 VRW393476:VSH393476 WBS393476:WCD393476 WLO393476:WLZ393476 WVK393476:WVV393476 IY459012:JJ459012 SU459012:TF459012 ACQ459012:ADB459012 AMM459012:AMX459012 AWI459012:AWT459012 BGE459012:BGP459012 BQA459012:BQL459012 BZW459012:CAH459012 CJS459012:CKD459012 CTO459012:CTZ459012 DDK459012:DDV459012 DNG459012:DNR459012 DXC459012:DXN459012 EGY459012:EHJ459012 EQU459012:ERF459012 FAQ459012:FBB459012 FKM459012:FKX459012 FUI459012:FUT459012 GEE459012:GEP459012 GOA459012:GOL459012 GXW459012:GYH459012 HHS459012:HID459012 HRO459012:HRZ459012 IBK459012:IBV459012 ILG459012:ILR459012 IVC459012:IVN459012 JEY459012:JFJ459012 JOU459012:JPF459012 JYQ459012:JZB459012 KIM459012:KIX459012 KSI459012:KST459012 LCE459012:LCP459012 LMA459012:LML459012 LVW459012:LWH459012 MFS459012:MGD459012 MPO459012:MPZ459012 MZK459012:MZV459012 NJG459012:NJR459012 NTC459012:NTN459012 OCY459012:ODJ459012 OMU459012:ONF459012 OWQ459012:OXB459012 PGM459012:PGX459012 PQI459012:PQT459012 QAE459012:QAP459012 QKA459012:QKL459012 QTW459012:QUH459012 RDS459012:RED459012 RNO459012:RNZ459012 RXK459012:RXV459012 SHG459012:SHR459012 SRC459012:SRN459012 TAY459012:TBJ459012 TKU459012:TLF459012 TUQ459012:TVB459012 UEM459012:UEX459012 UOI459012:UOT459012 UYE459012:UYP459012 VIA459012:VIL459012 VRW459012:VSH459012 WBS459012:WCD459012 WLO459012:WLZ459012 WVK459012:WVV459012 IY524548:JJ524548 SU524548:TF524548 ACQ524548:ADB524548 AMM524548:AMX524548 AWI524548:AWT524548 BGE524548:BGP524548 BQA524548:BQL524548 BZW524548:CAH524548 CJS524548:CKD524548 CTO524548:CTZ524548 DDK524548:DDV524548 DNG524548:DNR524548 DXC524548:DXN524548 EGY524548:EHJ524548 EQU524548:ERF524548 FAQ524548:FBB524548 FKM524548:FKX524548 FUI524548:FUT524548 GEE524548:GEP524548 GOA524548:GOL524548 GXW524548:GYH524548 HHS524548:HID524548 HRO524548:HRZ524548 IBK524548:IBV524548 ILG524548:ILR524548 IVC524548:IVN524548 JEY524548:JFJ524548 JOU524548:JPF524548 JYQ524548:JZB524548 KIM524548:KIX524548 KSI524548:KST524548 LCE524548:LCP524548 LMA524548:LML524548 LVW524548:LWH524548 MFS524548:MGD524548 MPO524548:MPZ524548 MZK524548:MZV524548 NJG524548:NJR524548 NTC524548:NTN524548 OCY524548:ODJ524548 OMU524548:ONF524548 OWQ524548:OXB524548 PGM524548:PGX524548 PQI524548:PQT524548 QAE524548:QAP524548 QKA524548:QKL524548 QTW524548:QUH524548 RDS524548:RED524548 RNO524548:RNZ524548 RXK524548:RXV524548 SHG524548:SHR524548 SRC524548:SRN524548 TAY524548:TBJ524548 TKU524548:TLF524548 TUQ524548:TVB524548 UEM524548:UEX524548 UOI524548:UOT524548 UYE524548:UYP524548 VIA524548:VIL524548 VRW524548:VSH524548 WBS524548:WCD524548 WLO524548:WLZ524548 WVK524548:WVV524548 IY590084:JJ590084 SU590084:TF590084 ACQ590084:ADB590084 AMM590084:AMX590084 AWI590084:AWT590084 BGE590084:BGP590084 BQA590084:BQL590084 BZW590084:CAH590084 CJS590084:CKD590084 CTO590084:CTZ590084 DDK590084:DDV590084 DNG590084:DNR590084 DXC590084:DXN590084 EGY590084:EHJ590084 EQU590084:ERF590084 FAQ590084:FBB590084 FKM590084:FKX590084 FUI590084:FUT590084 GEE590084:GEP590084 GOA590084:GOL590084 GXW590084:GYH590084 HHS590084:HID590084 HRO590084:HRZ590084 IBK590084:IBV590084 ILG590084:ILR590084 IVC590084:IVN590084 JEY590084:JFJ590084 JOU590084:JPF590084 JYQ590084:JZB590084 KIM590084:KIX590084 KSI590084:KST590084 LCE590084:LCP590084 LMA590084:LML590084 LVW590084:LWH590084 MFS590084:MGD590084 MPO590084:MPZ590084 MZK590084:MZV590084 NJG590084:NJR590084 NTC590084:NTN590084 OCY590084:ODJ590084 OMU590084:ONF590084 OWQ590084:OXB590084 PGM590084:PGX590084 PQI590084:PQT590084 QAE590084:QAP590084 QKA590084:QKL590084 QTW590084:QUH590084 RDS590084:RED590084 RNO590084:RNZ590084 RXK590084:RXV590084 SHG590084:SHR590084 SRC590084:SRN590084 TAY590084:TBJ590084 TKU590084:TLF590084 TUQ590084:TVB590084 UEM590084:UEX590084 UOI590084:UOT590084 UYE590084:UYP590084 VIA590084:VIL590084 VRW590084:VSH590084 WBS590084:WCD590084 WLO590084:WLZ590084 WVK590084:WVV590084 IY655620:JJ655620 SU655620:TF655620 ACQ655620:ADB655620 AMM655620:AMX655620 AWI655620:AWT655620 BGE655620:BGP655620 BQA655620:BQL655620 BZW655620:CAH655620 CJS655620:CKD655620 CTO655620:CTZ655620 DDK655620:DDV655620 DNG655620:DNR655620 DXC655620:DXN655620 EGY655620:EHJ655620 EQU655620:ERF655620 FAQ655620:FBB655620 FKM655620:FKX655620 FUI655620:FUT655620 GEE655620:GEP655620 GOA655620:GOL655620 GXW655620:GYH655620 HHS655620:HID655620 HRO655620:HRZ655620 IBK655620:IBV655620 ILG655620:ILR655620 IVC655620:IVN655620 JEY655620:JFJ655620 JOU655620:JPF655620 JYQ655620:JZB655620 KIM655620:KIX655620 KSI655620:KST655620 LCE655620:LCP655620 LMA655620:LML655620 LVW655620:LWH655620 MFS655620:MGD655620 MPO655620:MPZ655620 MZK655620:MZV655620 NJG655620:NJR655620 NTC655620:NTN655620 OCY655620:ODJ655620 OMU655620:ONF655620 OWQ655620:OXB655620 PGM655620:PGX655620 PQI655620:PQT655620 QAE655620:QAP655620 QKA655620:QKL655620 QTW655620:QUH655620 RDS655620:RED655620 RNO655620:RNZ655620 RXK655620:RXV655620 SHG655620:SHR655620 SRC655620:SRN655620 TAY655620:TBJ655620 TKU655620:TLF655620 TUQ655620:TVB655620 UEM655620:UEX655620 UOI655620:UOT655620 UYE655620:UYP655620 VIA655620:VIL655620 VRW655620:VSH655620 WBS655620:WCD655620 WLO655620:WLZ655620 WVK655620:WVV655620 IY721156:JJ721156 SU721156:TF721156 ACQ721156:ADB721156 AMM721156:AMX721156 AWI721156:AWT721156 BGE721156:BGP721156 BQA721156:BQL721156 BZW721156:CAH721156 CJS721156:CKD721156 CTO721156:CTZ721156 DDK721156:DDV721156 DNG721156:DNR721156 DXC721156:DXN721156 EGY721156:EHJ721156 EQU721156:ERF721156 FAQ721156:FBB721156 FKM721156:FKX721156 FUI721156:FUT721156 GEE721156:GEP721156 GOA721156:GOL721156 GXW721156:GYH721156 HHS721156:HID721156 HRO721156:HRZ721156 IBK721156:IBV721156 ILG721156:ILR721156 IVC721156:IVN721156 JEY721156:JFJ721156 JOU721156:JPF721156 JYQ721156:JZB721156 KIM721156:KIX721156 KSI721156:KST721156 LCE721156:LCP721156 LMA721156:LML721156 LVW721156:LWH721156 MFS721156:MGD721156 MPO721156:MPZ721156 MZK721156:MZV721156 NJG721156:NJR721156 NTC721156:NTN721156 OCY721156:ODJ721156 OMU721156:ONF721156 OWQ721156:OXB721156 PGM721156:PGX721156 PQI721156:PQT721156 QAE721156:QAP721156 QKA721156:QKL721156 QTW721156:QUH721156 RDS721156:RED721156 RNO721156:RNZ721156 RXK721156:RXV721156 SHG721156:SHR721156 SRC721156:SRN721156 TAY721156:TBJ721156 TKU721156:TLF721156 TUQ721156:TVB721156 UEM721156:UEX721156 UOI721156:UOT721156 UYE721156:UYP721156 VIA721156:VIL721156 VRW721156:VSH721156 WBS721156:WCD721156 WLO721156:WLZ721156 WVK721156:WVV721156 IY786692:JJ786692 SU786692:TF786692 ACQ786692:ADB786692 AMM786692:AMX786692 AWI786692:AWT786692 BGE786692:BGP786692 BQA786692:BQL786692 BZW786692:CAH786692 CJS786692:CKD786692 CTO786692:CTZ786692 DDK786692:DDV786692 DNG786692:DNR786692 DXC786692:DXN786692 EGY786692:EHJ786692 EQU786692:ERF786692 FAQ786692:FBB786692 FKM786692:FKX786692 FUI786692:FUT786692 GEE786692:GEP786692 GOA786692:GOL786692 GXW786692:GYH786692 HHS786692:HID786692 HRO786692:HRZ786692 IBK786692:IBV786692 ILG786692:ILR786692 IVC786692:IVN786692 JEY786692:JFJ786692 JOU786692:JPF786692 JYQ786692:JZB786692 KIM786692:KIX786692 KSI786692:KST786692 LCE786692:LCP786692 LMA786692:LML786692 LVW786692:LWH786692 MFS786692:MGD786692 MPO786692:MPZ786692 MZK786692:MZV786692 NJG786692:NJR786692 NTC786692:NTN786692 OCY786692:ODJ786692 OMU786692:ONF786692 OWQ786692:OXB786692 PGM786692:PGX786692 PQI786692:PQT786692 QAE786692:QAP786692 QKA786692:QKL786692 QTW786692:QUH786692 RDS786692:RED786692 RNO786692:RNZ786692 RXK786692:RXV786692 SHG786692:SHR786692 SRC786692:SRN786692 TAY786692:TBJ786692 TKU786692:TLF786692 TUQ786692:TVB786692 UEM786692:UEX786692 UOI786692:UOT786692 UYE786692:UYP786692 VIA786692:VIL786692 VRW786692:VSH786692 WBS786692:WCD786692 WLO786692:WLZ786692 WVK786692:WVV786692 IY852228:JJ852228 SU852228:TF852228 ACQ852228:ADB852228 AMM852228:AMX852228 AWI852228:AWT852228 BGE852228:BGP852228 BQA852228:BQL852228 BZW852228:CAH852228 CJS852228:CKD852228 CTO852228:CTZ852228 DDK852228:DDV852228 DNG852228:DNR852228 DXC852228:DXN852228 EGY852228:EHJ852228 EQU852228:ERF852228 FAQ852228:FBB852228 FKM852228:FKX852228 FUI852228:FUT852228 GEE852228:GEP852228 GOA852228:GOL852228 GXW852228:GYH852228 HHS852228:HID852228 HRO852228:HRZ852228 IBK852228:IBV852228 ILG852228:ILR852228 IVC852228:IVN852228 JEY852228:JFJ852228 JOU852228:JPF852228 JYQ852228:JZB852228 KIM852228:KIX852228 KSI852228:KST852228 LCE852228:LCP852228 LMA852228:LML852228 LVW852228:LWH852228 MFS852228:MGD852228 MPO852228:MPZ852228 MZK852228:MZV852228 NJG852228:NJR852228 NTC852228:NTN852228 OCY852228:ODJ852228 OMU852228:ONF852228 OWQ852228:OXB852228 PGM852228:PGX852228 PQI852228:PQT852228 QAE852228:QAP852228 QKA852228:QKL852228 QTW852228:QUH852228 RDS852228:RED852228 RNO852228:RNZ852228 RXK852228:RXV852228 SHG852228:SHR852228 SRC852228:SRN852228 TAY852228:TBJ852228 TKU852228:TLF852228 TUQ852228:TVB852228 UEM852228:UEX852228 UOI852228:UOT852228 UYE852228:UYP852228 VIA852228:VIL852228 VRW852228:VSH852228 WBS852228:WCD852228 WLO852228:WLZ852228 WVK852228:WVV852228 IY917764:JJ917764 SU917764:TF917764 ACQ917764:ADB917764 AMM917764:AMX917764 AWI917764:AWT917764 BGE917764:BGP917764 BQA917764:BQL917764 BZW917764:CAH917764 CJS917764:CKD917764 CTO917764:CTZ917764 DDK917764:DDV917764 DNG917764:DNR917764 DXC917764:DXN917764 EGY917764:EHJ917764 EQU917764:ERF917764 FAQ917764:FBB917764 FKM917764:FKX917764 FUI917764:FUT917764 GEE917764:GEP917764 GOA917764:GOL917764 GXW917764:GYH917764 HHS917764:HID917764 HRO917764:HRZ917764 IBK917764:IBV917764 ILG917764:ILR917764 IVC917764:IVN917764 JEY917764:JFJ917764 JOU917764:JPF917764 JYQ917764:JZB917764 KIM917764:KIX917764 KSI917764:KST917764 LCE917764:LCP917764 LMA917764:LML917764 LVW917764:LWH917764 MFS917764:MGD917764 MPO917764:MPZ917764 MZK917764:MZV917764 NJG917764:NJR917764 NTC917764:NTN917764 OCY917764:ODJ917764 OMU917764:ONF917764 OWQ917764:OXB917764 PGM917764:PGX917764 PQI917764:PQT917764 QAE917764:QAP917764 QKA917764:QKL917764 QTW917764:QUH917764 RDS917764:RED917764 RNO917764:RNZ917764 RXK917764:RXV917764 SHG917764:SHR917764 SRC917764:SRN917764 TAY917764:TBJ917764 TKU917764:TLF917764 TUQ917764:TVB917764 UEM917764:UEX917764 UOI917764:UOT917764 UYE917764:UYP917764 VIA917764:VIL917764 VRW917764:VSH917764 WBS917764:WCD917764 WLO917764:WLZ917764 WVK917764:WVV917764 IY983300:JJ983300 SU983300:TF983300 ACQ983300:ADB983300 AMM983300:AMX983300 AWI983300:AWT983300 BGE983300:BGP983300 BQA983300:BQL983300 BZW983300:CAH983300 CJS983300:CKD983300 CTO983300:CTZ983300 DDK983300:DDV983300 DNG983300:DNR983300 DXC983300:DXN983300 EGY983300:EHJ983300 EQU983300:ERF983300 FAQ983300:FBB983300 FKM983300:FKX983300 FUI983300:FUT983300 GEE983300:GEP983300 GOA983300:GOL983300 GXW983300:GYH983300 HHS983300:HID983300 HRO983300:HRZ983300 IBK983300:IBV983300 ILG983300:ILR983300 IVC983300:IVN983300 JEY983300:JFJ983300 JOU983300:JPF983300 JYQ983300:JZB983300 KIM983300:KIX983300 KSI983300:KST983300 LCE983300:LCP983300 LMA983300:LML983300 LVW983300:LWH983300 MFS983300:MGD983300 MPO983300:MPZ983300 MZK983300:MZV983300 NJG983300:NJR983300 NTC983300:NTN983300 OCY983300:ODJ983300 OMU983300:ONF983300 OWQ983300:OXB983300 PGM983300:PGX983300 PQI983300:PQT983300 QAE983300:QAP983300 QKA983300:QKL983300 QTW983300:QUH983300 RDS983300:RED983300 RNO983300:RNZ983300 RXK983300:RXV983300 SHG983300:SHR983300 SRC983300:SRN983300 TAY983300:TBJ983300 TKU983300:TLF983300 TUQ983300:TVB983300 UEM983300:UEX983300 UOI983300:UOT983300 UYE983300:UYP983300 VIA983300:VIL983300 VRW983300:VSH983300 WBS983300:WCD983300 WLO983300:WLZ983300 WVK983300:WVV983300 F256:N256 F66062:K66062 F131598:K131598 F197134:K197134 F262670:K262670 F328206:K328206 F393742:K393742 F459278:K459278 F524814:K524814 F590350:K590350 F655886:K655886 F721422:K721422 F786958:K786958 F852494:K852494 F918030:K918030 F983566:K983566 F983300:N983300 F917764:N917764 F852228:N852228 F786692:N786692 F721156:N721156 F655620:N655620 F590084:N590084 F524548:N524548 F459012:N459012 F393476:N393476 F327940:N327940 F262404:N262404 F196868:N196868 F131332:N131332 F65796:N65796 F535:K535">
      <formula1>#REF!</formula1>
    </dataValidation>
    <dataValidation type="list" allowBlank="1" showInputMessage="1" showErrorMessage="1" sqref="IY12:JJ12 F65574:N65574 F131110:N131110 F196646:N196646 F262182:N262182 F327718:N327718 F393254:N393254 F458790:N458790 F524326:N524326 F589862:N589862 F655398:N655398 F720934:N720934 F786470:N786470 F852006:N852006 F917542:N917542 F983078:N983078 WVK983078:WVV983078 WLO983078:WLZ983078 WBS983078:WCD983078 VRW983078:VSH983078 VIA983078:VIL983078 UYE983078:UYP983078 UOI983078:UOT983078 UEM983078:UEX983078 TUQ983078:TVB983078 TKU983078:TLF983078 TAY983078:TBJ983078 SRC983078:SRN983078 SHG983078:SHR983078 RXK983078:RXV983078 RNO983078:RNZ983078 RDS983078:RED983078 QTW983078:QUH983078 QKA983078:QKL983078 QAE983078:QAP983078 PQI983078:PQT983078 PGM983078:PGX983078 OWQ983078:OXB983078 OMU983078:ONF983078 OCY983078:ODJ983078 NTC983078:NTN983078 NJG983078:NJR983078 MZK983078:MZV983078 MPO983078:MPZ983078 MFS983078:MGD983078 LVW983078:LWH983078 LMA983078:LML983078 LCE983078:LCP983078 KSI983078:KST983078 KIM983078:KIX983078 JYQ983078:JZB983078 JOU983078:JPF983078 JEY983078:JFJ983078 IVC983078:IVN983078 ILG983078:ILR983078 IBK983078:IBV983078 HRO983078:HRZ983078 HHS983078:HID983078 GXW983078:GYH983078 GOA983078:GOL983078 GEE983078:GEP983078 FUI983078:FUT983078 FKM983078:FKX983078 FAQ983078:FBB983078 EQU983078:ERF983078 EGY983078:EHJ983078 DXC983078:DXN983078 DNG983078:DNR983078 DDK983078:DDV983078 CTO983078:CTZ983078 CJS983078:CKD983078 BZW983078:CAH983078 BQA983078:BQL983078 BGE983078:BGP983078 AWI983078:AWT983078 AMM983078:AMX983078 ACQ983078:ADB983078 SU983078:TF983078 IY983078:JJ983078 WVK917542:WVV917542 WLO917542:WLZ917542 WBS917542:WCD917542 VRW917542:VSH917542 VIA917542:VIL917542 UYE917542:UYP917542 UOI917542:UOT917542 UEM917542:UEX917542 TUQ917542:TVB917542 TKU917542:TLF917542 TAY917542:TBJ917542 SRC917542:SRN917542 SHG917542:SHR917542 RXK917542:RXV917542 RNO917542:RNZ917542 RDS917542:RED917542 QTW917542:QUH917542 QKA917542:QKL917542 QAE917542:QAP917542 PQI917542:PQT917542 PGM917542:PGX917542 OWQ917542:OXB917542 OMU917542:ONF917542 OCY917542:ODJ917542 NTC917542:NTN917542 NJG917542:NJR917542 MZK917542:MZV917542 MPO917542:MPZ917542 MFS917542:MGD917542 LVW917542:LWH917542 LMA917542:LML917542 LCE917542:LCP917542 KSI917542:KST917542 KIM917542:KIX917542 JYQ917542:JZB917542 JOU917542:JPF917542 JEY917542:JFJ917542 IVC917542:IVN917542 ILG917542:ILR917542 IBK917542:IBV917542 HRO917542:HRZ917542 HHS917542:HID917542 GXW917542:GYH917542 GOA917542:GOL917542 GEE917542:GEP917542 FUI917542:FUT917542 FKM917542:FKX917542 FAQ917542:FBB917542 EQU917542:ERF917542 EGY917542:EHJ917542 DXC917542:DXN917542 DNG917542:DNR917542 DDK917542:DDV917542 CTO917542:CTZ917542 CJS917542:CKD917542 BZW917542:CAH917542 BQA917542:BQL917542 BGE917542:BGP917542 AWI917542:AWT917542 AMM917542:AMX917542 ACQ917542:ADB917542 SU917542:TF917542 IY917542:JJ917542 WVK852006:WVV852006 WLO852006:WLZ852006 WBS852006:WCD852006 VRW852006:VSH852006 VIA852006:VIL852006 UYE852006:UYP852006 UOI852006:UOT852006 UEM852006:UEX852006 TUQ852006:TVB852006 TKU852006:TLF852006 TAY852006:TBJ852006 SRC852006:SRN852006 SHG852006:SHR852006 RXK852006:RXV852006 RNO852006:RNZ852006 RDS852006:RED852006 QTW852006:QUH852006 QKA852006:QKL852006 QAE852006:QAP852006 PQI852006:PQT852006 PGM852006:PGX852006 OWQ852006:OXB852006 OMU852006:ONF852006 OCY852006:ODJ852006 NTC852006:NTN852006 NJG852006:NJR852006 MZK852006:MZV852006 MPO852006:MPZ852006 MFS852006:MGD852006 LVW852006:LWH852006 LMA852006:LML852006 LCE852006:LCP852006 KSI852006:KST852006 KIM852006:KIX852006 JYQ852006:JZB852006 JOU852006:JPF852006 JEY852006:JFJ852006 IVC852006:IVN852006 ILG852006:ILR852006 IBK852006:IBV852006 HRO852006:HRZ852006 HHS852006:HID852006 GXW852006:GYH852006 GOA852006:GOL852006 GEE852006:GEP852006 FUI852006:FUT852006 FKM852006:FKX852006 FAQ852006:FBB852006 EQU852006:ERF852006 EGY852006:EHJ852006 DXC852006:DXN852006 DNG852006:DNR852006 DDK852006:DDV852006 CTO852006:CTZ852006 CJS852006:CKD852006 BZW852006:CAH852006 BQA852006:BQL852006 BGE852006:BGP852006 AWI852006:AWT852006 AMM852006:AMX852006 ACQ852006:ADB852006 SU852006:TF852006 IY852006:JJ852006 WVK786470:WVV786470 WLO786470:WLZ786470 WBS786470:WCD786470 VRW786470:VSH786470 VIA786470:VIL786470 UYE786470:UYP786470 UOI786470:UOT786470 UEM786470:UEX786470 TUQ786470:TVB786470 TKU786470:TLF786470 TAY786470:TBJ786470 SRC786470:SRN786470 SHG786470:SHR786470 RXK786470:RXV786470 RNO786470:RNZ786470 RDS786470:RED786470 QTW786470:QUH786470 QKA786470:QKL786470 QAE786470:QAP786470 PQI786470:PQT786470 PGM786470:PGX786470 OWQ786470:OXB786470 OMU786470:ONF786470 OCY786470:ODJ786470 NTC786470:NTN786470 NJG786470:NJR786470 MZK786470:MZV786470 MPO786470:MPZ786470 MFS786470:MGD786470 LVW786470:LWH786470 LMA786470:LML786470 LCE786470:LCP786470 KSI786470:KST786470 KIM786470:KIX786470 JYQ786470:JZB786470 JOU786470:JPF786470 JEY786470:JFJ786470 IVC786470:IVN786470 ILG786470:ILR786470 IBK786470:IBV786470 HRO786470:HRZ786470 HHS786470:HID786470 GXW786470:GYH786470 GOA786470:GOL786470 GEE786470:GEP786470 FUI786470:FUT786470 FKM786470:FKX786470 FAQ786470:FBB786470 EQU786470:ERF786470 EGY786470:EHJ786470 DXC786470:DXN786470 DNG786470:DNR786470 DDK786470:DDV786470 CTO786470:CTZ786470 CJS786470:CKD786470 BZW786470:CAH786470 BQA786470:BQL786470 BGE786470:BGP786470 AWI786470:AWT786470 AMM786470:AMX786470 ACQ786470:ADB786470 SU786470:TF786470 IY786470:JJ786470 WVK720934:WVV720934 WLO720934:WLZ720934 WBS720934:WCD720934 VRW720934:VSH720934 VIA720934:VIL720934 UYE720934:UYP720934 UOI720934:UOT720934 UEM720934:UEX720934 TUQ720934:TVB720934 TKU720934:TLF720934 TAY720934:TBJ720934 SRC720934:SRN720934 SHG720934:SHR720934 RXK720934:RXV720934 RNO720934:RNZ720934 RDS720934:RED720934 QTW720934:QUH720934 QKA720934:QKL720934 QAE720934:QAP720934 PQI720934:PQT720934 PGM720934:PGX720934 OWQ720934:OXB720934 OMU720934:ONF720934 OCY720934:ODJ720934 NTC720934:NTN720934 NJG720934:NJR720934 MZK720934:MZV720934 MPO720934:MPZ720934 MFS720934:MGD720934 LVW720934:LWH720934 LMA720934:LML720934 LCE720934:LCP720934 KSI720934:KST720934 KIM720934:KIX720934 JYQ720934:JZB720934 JOU720934:JPF720934 JEY720934:JFJ720934 IVC720934:IVN720934 ILG720934:ILR720934 IBK720934:IBV720934 HRO720934:HRZ720934 HHS720934:HID720934 GXW720934:GYH720934 GOA720934:GOL720934 GEE720934:GEP720934 FUI720934:FUT720934 FKM720934:FKX720934 FAQ720934:FBB720934 EQU720934:ERF720934 EGY720934:EHJ720934 DXC720934:DXN720934 DNG720934:DNR720934 DDK720934:DDV720934 CTO720934:CTZ720934 CJS720934:CKD720934 BZW720934:CAH720934 BQA720934:BQL720934 BGE720934:BGP720934 AWI720934:AWT720934 AMM720934:AMX720934 ACQ720934:ADB720934 SU720934:TF720934 IY720934:JJ720934 WVK655398:WVV655398 WLO655398:WLZ655398 WBS655398:WCD655398 VRW655398:VSH655398 VIA655398:VIL655398 UYE655398:UYP655398 UOI655398:UOT655398 UEM655398:UEX655398 TUQ655398:TVB655398 TKU655398:TLF655398 TAY655398:TBJ655398 SRC655398:SRN655398 SHG655398:SHR655398 RXK655398:RXV655398 RNO655398:RNZ655398 RDS655398:RED655398 QTW655398:QUH655398 QKA655398:QKL655398 QAE655398:QAP655398 PQI655398:PQT655398 PGM655398:PGX655398 OWQ655398:OXB655398 OMU655398:ONF655398 OCY655398:ODJ655398 NTC655398:NTN655398 NJG655398:NJR655398 MZK655398:MZV655398 MPO655398:MPZ655398 MFS655398:MGD655398 LVW655398:LWH655398 LMA655398:LML655398 LCE655398:LCP655398 KSI655398:KST655398 KIM655398:KIX655398 JYQ655398:JZB655398 JOU655398:JPF655398 JEY655398:JFJ655398 IVC655398:IVN655398 ILG655398:ILR655398 IBK655398:IBV655398 HRO655398:HRZ655398 HHS655398:HID655398 GXW655398:GYH655398 GOA655398:GOL655398 GEE655398:GEP655398 FUI655398:FUT655398 FKM655398:FKX655398 FAQ655398:FBB655398 EQU655398:ERF655398 EGY655398:EHJ655398 DXC655398:DXN655398 DNG655398:DNR655398 DDK655398:DDV655398 CTO655398:CTZ655398 CJS655398:CKD655398 BZW655398:CAH655398 BQA655398:BQL655398 BGE655398:BGP655398 AWI655398:AWT655398 AMM655398:AMX655398 ACQ655398:ADB655398 SU655398:TF655398 IY655398:JJ655398 WVK589862:WVV589862 WLO589862:WLZ589862 WBS589862:WCD589862 VRW589862:VSH589862 VIA589862:VIL589862 UYE589862:UYP589862 UOI589862:UOT589862 UEM589862:UEX589862 TUQ589862:TVB589862 TKU589862:TLF589862 TAY589862:TBJ589862 SRC589862:SRN589862 SHG589862:SHR589862 RXK589862:RXV589862 RNO589862:RNZ589862 RDS589862:RED589862 QTW589862:QUH589862 QKA589862:QKL589862 QAE589862:QAP589862 PQI589862:PQT589862 PGM589862:PGX589862 OWQ589862:OXB589862 OMU589862:ONF589862 OCY589862:ODJ589862 NTC589862:NTN589862 NJG589862:NJR589862 MZK589862:MZV589862 MPO589862:MPZ589862 MFS589862:MGD589862 LVW589862:LWH589862 LMA589862:LML589862 LCE589862:LCP589862 KSI589862:KST589862 KIM589862:KIX589862 JYQ589862:JZB589862 JOU589862:JPF589862 JEY589862:JFJ589862 IVC589862:IVN589862 ILG589862:ILR589862 IBK589862:IBV589862 HRO589862:HRZ589862 HHS589862:HID589862 GXW589862:GYH589862 GOA589862:GOL589862 GEE589862:GEP589862 FUI589862:FUT589862 FKM589862:FKX589862 FAQ589862:FBB589862 EQU589862:ERF589862 EGY589862:EHJ589862 DXC589862:DXN589862 DNG589862:DNR589862 DDK589862:DDV589862 CTO589862:CTZ589862 CJS589862:CKD589862 BZW589862:CAH589862 BQA589862:BQL589862 BGE589862:BGP589862 AWI589862:AWT589862 AMM589862:AMX589862 ACQ589862:ADB589862 SU589862:TF589862 IY589862:JJ589862 WVK524326:WVV524326 WLO524326:WLZ524326 WBS524326:WCD524326 VRW524326:VSH524326 VIA524326:VIL524326 UYE524326:UYP524326 UOI524326:UOT524326 UEM524326:UEX524326 TUQ524326:TVB524326 TKU524326:TLF524326 TAY524326:TBJ524326 SRC524326:SRN524326 SHG524326:SHR524326 RXK524326:RXV524326 RNO524326:RNZ524326 RDS524326:RED524326 QTW524326:QUH524326 QKA524326:QKL524326 QAE524326:QAP524326 PQI524326:PQT524326 PGM524326:PGX524326 OWQ524326:OXB524326 OMU524326:ONF524326 OCY524326:ODJ524326 NTC524326:NTN524326 NJG524326:NJR524326 MZK524326:MZV524326 MPO524326:MPZ524326 MFS524326:MGD524326 LVW524326:LWH524326 LMA524326:LML524326 LCE524326:LCP524326 KSI524326:KST524326 KIM524326:KIX524326 JYQ524326:JZB524326 JOU524326:JPF524326 JEY524326:JFJ524326 IVC524326:IVN524326 ILG524326:ILR524326 IBK524326:IBV524326 HRO524326:HRZ524326 HHS524326:HID524326 GXW524326:GYH524326 GOA524326:GOL524326 GEE524326:GEP524326 FUI524326:FUT524326 FKM524326:FKX524326 FAQ524326:FBB524326 EQU524326:ERF524326 EGY524326:EHJ524326 DXC524326:DXN524326 DNG524326:DNR524326 DDK524326:DDV524326 CTO524326:CTZ524326 CJS524326:CKD524326 BZW524326:CAH524326 BQA524326:BQL524326 BGE524326:BGP524326 AWI524326:AWT524326 AMM524326:AMX524326 ACQ524326:ADB524326 SU524326:TF524326 IY524326:JJ524326 WVK458790:WVV458790 WLO458790:WLZ458790 WBS458790:WCD458790 VRW458790:VSH458790 VIA458790:VIL458790 UYE458790:UYP458790 UOI458790:UOT458790 UEM458790:UEX458790 TUQ458790:TVB458790 TKU458790:TLF458790 TAY458790:TBJ458790 SRC458790:SRN458790 SHG458790:SHR458790 RXK458790:RXV458790 RNO458790:RNZ458790 RDS458790:RED458790 QTW458790:QUH458790 QKA458790:QKL458790 QAE458790:QAP458790 PQI458790:PQT458790 PGM458790:PGX458790 OWQ458790:OXB458790 OMU458790:ONF458790 OCY458790:ODJ458790 NTC458790:NTN458790 NJG458790:NJR458790 MZK458790:MZV458790 MPO458790:MPZ458790 MFS458790:MGD458790 LVW458790:LWH458790 LMA458790:LML458790 LCE458790:LCP458790 KSI458790:KST458790 KIM458790:KIX458790 JYQ458790:JZB458790 JOU458790:JPF458790 JEY458790:JFJ458790 IVC458790:IVN458790 ILG458790:ILR458790 IBK458790:IBV458790 HRO458790:HRZ458790 HHS458790:HID458790 GXW458790:GYH458790 GOA458790:GOL458790 GEE458790:GEP458790 FUI458790:FUT458790 FKM458790:FKX458790 FAQ458790:FBB458790 EQU458790:ERF458790 EGY458790:EHJ458790 DXC458790:DXN458790 DNG458790:DNR458790 DDK458790:DDV458790 CTO458790:CTZ458790 CJS458790:CKD458790 BZW458790:CAH458790 BQA458790:BQL458790 BGE458790:BGP458790 AWI458790:AWT458790 AMM458790:AMX458790 ACQ458790:ADB458790 SU458790:TF458790 IY458790:JJ458790 WVK393254:WVV393254 WLO393254:WLZ393254 WBS393254:WCD393254 VRW393254:VSH393254 VIA393254:VIL393254 UYE393254:UYP393254 UOI393254:UOT393254 UEM393254:UEX393254 TUQ393254:TVB393254 TKU393254:TLF393254 TAY393254:TBJ393254 SRC393254:SRN393254 SHG393254:SHR393254 RXK393254:RXV393254 RNO393254:RNZ393254 RDS393254:RED393254 QTW393254:QUH393254 QKA393254:QKL393254 QAE393254:QAP393254 PQI393254:PQT393254 PGM393254:PGX393254 OWQ393254:OXB393254 OMU393254:ONF393254 OCY393254:ODJ393254 NTC393254:NTN393254 NJG393254:NJR393254 MZK393254:MZV393254 MPO393254:MPZ393254 MFS393254:MGD393254 LVW393254:LWH393254 LMA393254:LML393254 LCE393254:LCP393254 KSI393254:KST393254 KIM393254:KIX393254 JYQ393254:JZB393254 JOU393254:JPF393254 JEY393254:JFJ393254 IVC393254:IVN393254 ILG393254:ILR393254 IBK393254:IBV393254 HRO393254:HRZ393254 HHS393254:HID393254 GXW393254:GYH393254 GOA393254:GOL393254 GEE393254:GEP393254 FUI393254:FUT393254 FKM393254:FKX393254 FAQ393254:FBB393254 EQU393254:ERF393254 EGY393254:EHJ393254 DXC393254:DXN393254 DNG393254:DNR393254 DDK393254:DDV393254 CTO393254:CTZ393254 CJS393254:CKD393254 BZW393254:CAH393254 BQA393254:BQL393254 BGE393254:BGP393254 AWI393254:AWT393254 AMM393254:AMX393254 ACQ393254:ADB393254 SU393254:TF393254 IY393254:JJ393254 WVK327718:WVV327718 WLO327718:WLZ327718 WBS327718:WCD327718 VRW327718:VSH327718 VIA327718:VIL327718 UYE327718:UYP327718 UOI327718:UOT327718 UEM327718:UEX327718 TUQ327718:TVB327718 TKU327718:TLF327718 TAY327718:TBJ327718 SRC327718:SRN327718 SHG327718:SHR327718 RXK327718:RXV327718 RNO327718:RNZ327718 RDS327718:RED327718 QTW327718:QUH327718 QKA327718:QKL327718 QAE327718:QAP327718 PQI327718:PQT327718 PGM327718:PGX327718 OWQ327718:OXB327718 OMU327718:ONF327718 OCY327718:ODJ327718 NTC327718:NTN327718 NJG327718:NJR327718 MZK327718:MZV327718 MPO327718:MPZ327718 MFS327718:MGD327718 LVW327718:LWH327718 LMA327718:LML327718 LCE327718:LCP327718 KSI327718:KST327718 KIM327718:KIX327718 JYQ327718:JZB327718 JOU327718:JPF327718 JEY327718:JFJ327718 IVC327718:IVN327718 ILG327718:ILR327718 IBK327718:IBV327718 HRO327718:HRZ327718 HHS327718:HID327718 GXW327718:GYH327718 GOA327718:GOL327718 GEE327718:GEP327718 FUI327718:FUT327718 FKM327718:FKX327718 FAQ327718:FBB327718 EQU327718:ERF327718 EGY327718:EHJ327718 DXC327718:DXN327718 DNG327718:DNR327718 DDK327718:DDV327718 CTO327718:CTZ327718 CJS327718:CKD327718 BZW327718:CAH327718 BQA327718:BQL327718 BGE327718:BGP327718 AWI327718:AWT327718 AMM327718:AMX327718 ACQ327718:ADB327718 SU327718:TF327718 IY327718:JJ327718 WVK262182:WVV262182 WLO262182:WLZ262182 WBS262182:WCD262182 VRW262182:VSH262182 VIA262182:VIL262182 UYE262182:UYP262182 UOI262182:UOT262182 UEM262182:UEX262182 TUQ262182:TVB262182 TKU262182:TLF262182 TAY262182:TBJ262182 SRC262182:SRN262182 SHG262182:SHR262182 RXK262182:RXV262182 RNO262182:RNZ262182 RDS262182:RED262182 QTW262182:QUH262182 QKA262182:QKL262182 QAE262182:QAP262182 PQI262182:PQT262182 PGM262182:PGX262182 OWQ262182:OXB262182 OMU262182:ONF262182 OCY262182:ODJ262182 NTC262182:NTN262182 NJG262182:NJR262182 MZK262182:MZV262182 MPO262182:MPZ262182 MFS262182:MGD262182 LVW262182:LWH262182 LMA262182:LML262182 LCE262182:LCP262182 KSI262182:KST262182 KIM262182:KIX262182 JYQ262182:JZB262182 JOU262182:JPF262182 JEY262182:JFJ262182 IVC262182:IVN262182 ILG262182:ILR262182 IBK262182:IBV262182 HRO262182:HRZ262182 HHS262182:HID262182 GXW262182:GYH262182 GOA262182:GOL262182 GEE262182:GEP262182 FUI262182:FUT262182 FKM262182:FKX262182 FAQ262182:FBB262182 EQU262182:ERF262182 EGY262182:EHJ262182 DXC262182:DXN262182 DNG262182:DNR262182 DDK262182:DDV262182 CTO262182:CTZ262182 CJS262182:CKD262182 BZW262182:CAH262182 BQA262182:BQL262182 BGE262182:BGP262182 AWI262182:AWT262182 AMM262182:AMX262182 ACQ262182:ADB262182 SU262182:TF262182 IY262182:JJ262182 WVK196646:WVV196646 WLO196646:WLZ196646 WBS196646:WCD196646 VRW196646:VSH196646 VIA196646:VIL196646 UYE196646:UYP196646 UOI196646:UOT196646 UEM196646:UEX196646 TUQ196646:TVB196646 TKU196646:TLF196646 TAY196646:TBJ196646 SRC196646:SRN196646 SHG196646:SHR196646 RXK196646:RXV196646 RNO196646:RNZ196646 RDS196646:RED196646 QTW196646:QUH196646 QKA196646:QKL196646 QAE196646:QAP196646 PQI196646:PQT196646 PGM196646:PGX196646 OWQ196646:OXB196646 OMU196646:ONF196646 OCY196646:ODJ196646 NTC196646:NTN196646 NJG196646:NJR196646 MZK196646:MZV196646 MPO196646:MPZ196646 MFS196646:MGD196646 LVW196646:LWH196646 LMA196646:LML196646 LCE196646:LCP196646 KSI196646:KST196646 KIM196646:KIX196646 JYQ196646:JZB196646 JOU196646:JPF196646 JEY196646:JFJ196646 IVC196646:IVN196646 ILG196646:ILR196646 IBK196646:IBV196646 HRO196646:HRZ196646 HHS196646:HID196646 GXW196646:GYH196646 GOA196646:GOL196646 GEE196646:GEP196646 FUI196646:FUT196646 FKM196646:FKX196646 FAQ196646:FBB196646 EQU196646:ERF196646 EGY196646:EHJ196646 DXC196646:DXN196646 DNG196646:DNR196646 DDK196646:DDV196646 CTO196646:CTZ196646 CJS196646:CKD196646 BZW196646:CAH196646 BQA196646:BQL196646 BGE196646:BGP196646 AWI196646:AWT196646 AMM196646:AMX196646 ACQ196646:ADB196646 SU196646:TF196646 IY196646:JJ196646 WVK131110:WVV131110 WLO131110:WLZ131110 WBS131110:WCD131110 VRW131110:VSH131110 VIA131110:VIL131110 UYE131110:UYP131110 UOI131110:UOT131110 UEM131110:UEX131110 TUQ131110:TVB131110 TKU131110:TLF131110 TAY131110:TBJ131110 SRC131110:SRN131110 SHG131110:SHR131110 RXK131110:RXV131110 RNO131110:RNZ131110 RDS131110:RED131110 QTW131110:QUH131110 QKA131110:QKL131110 QAE131110:QAP131110 PQI131110:PQT131110 PGM131110:PGX131110 OWQ131110:OXB131110 OMU131110:ONF131110 OCY131110:ODJ131110 NTC131110:NTN131110 NJG131110:NJR131110 MZK131110:MZV131110 MPO131110:MPZ131110 MFS131110:MGD131110 LVW131110:LWH131110 LMA131110:LML131110 LCE131110:LCP131110 KSI131110:KST131110 KIM131110:KIX131110 JYQ131110:JZB131110 JOU131110:JPF131110 JEY131110:JFJ131110 IVC131110:IVN131110 ILG131110:ILR131110 IBK131110:IBV131110 HRO131110:HRZ131110 HHS131110:HID131110 GXW131110:GYH131110 GOA131110:GOL131110 GEE131110:GEP131110 FUI131110:FUT131110 FKM131110:FKX131110 FAQ131110:FBB131110 EQU131110:ERF131110 EGY131110:EHJ131110 DXC131110:DXN131110 DNG131110:DNR131110 DDK131110:DDV131110 CTO131110:CTZ131110 CJS131110:CKD131110 BZW131110:CAH131110 BQA131110:BQL131110 BGE131110:BGP131110 AWI131110:AWT131110 AMM131110:AMX131110 ACQ131110:ADB131110 SU131110:TF131110 IY131110:JJ131110 WVK65574:WVV65574 WLO65574:WLZ65574 WBS65574:WCD65574 VRW65574:VSH65574 VIA65574:VIL65574 UYE65574:UYP65574 UOI65574:UOT65574 UEM65574:UEX65574 TUQ65574:TVB65574 TKU65574:TLF65574 TAY65574:TBJ65574 SRC65574:SRN65574 SHG65574:SHR65574 RXK65574:RXV65574 RNO65574:RNZ65574 RDS65574:RED65574 QTW65574:QUH65574 QKA65574:QKL65574 QAE65574:QAP65574 PQI65574:PQT65574 PGM65574:PGX65574 OWQ65574:OXB65574 OMU65574:ONF65574 OCY65574:ODJ65574 NTC65574:NTN65574 NJG65574:NJR65574 MZK65574:MZV65574 MPO65574:MPZ65574 MFS65574:MGD65574 LVW65574:LWH65574 LMA65574:LML65574 LCE65574:LCP65574 KSI65574:KST65574 KIM65574:KIX65574 JYQ65574:JZB65574 JOU65574:JPF65574 JEY65574:JFJ65574 IVC65574:IVN65574 ILG65574:ILR65574 IBK65574:IBV65574 HRO65574:HRZ65574 HHS65574:HID65574 GXW65574:GYH65574 GOA65574:GOL65574 GEE65574:GEP65574 FUI65574:FUT65574 FKM65574:FKX65574 FAQ65574:FBB65574 EQU65574:ERF65574 EGY65574:EHJ65574 DXC65574:DXN65574 DNG65574:DNR65574 DDK65574:DDV65574 CTO65574:CTZ65574 CJS65574:CKD65574 BZW65574:CAH65574 BQA65574:BQL65574 BGE65574:BGP65574 AWI65574:AWT65574 AMM65574:AMX65574 ACQ65574:ADB65574 SU65574:TF65574 IY65574:JJ65574 WVK12:WVV12 WLO12:WLZ12 WBS12:WCD12 VRW12:VSH12 VIA12:VIL12 UYE12:UYP12 UOI12:UOT12 UEM12:UEX12 TUQ12:TVB12 TKU12:TLF12 TAY12:TBJ12 SRC12:SRN12 SHG12:SHR12 RXK12:RXV12 RNO12:RNZ12 RDS12:RED12 QTW12:QUH12 QKA12:QKL12 QAE12:QAP12 PQI12:PQT12 PGM12:PGX12 OWQ12:OXB12 OMU12:ONF12 OCY12:ODJ12 NTC12:NTN12 NJG12:NJR12 MZK12:MZV12 MPO12:MPZ12 MFS12:MGD12 LVW12:LWH12 LMA12:LML12 LCE12:LCP12 KSI12:KST12 KIM12:KIX12 JYQ12:JZB12 JOU12:JPF12 JEY12:JFJ12 IVC12:IVN12 ILG12:ILR12 IBK12:IBV12 HRO12:HRZ12 HHS12:HID12 GXW12:GYH12 GOA12:GOL12 GEE12:GEP12 FUI12:FUT12 FKM12:FKX12 FAQ12:FBB12 EQU12:ERF12 EGY12:EHJ12 DXC12:DXN12 DNG12:DNR12 DDK12:DDV12 CTO12:CTZ12 CJS12:CKD12 BZW12:CAH12 BQA12:BQL12 BGE12:BGP12 AWI12:AWT12 AMM12:AMX12 ACQ12:ADB12 SU12:TF12 B12:N12">
      <formula1>$A$657:$A$660</formula1>
    </dataValidation>
    <dataValidation type="list" allowBlank="1" showInputMessage="1" showErrorMessage="1" sqref="F65569:N65573 B9:N11 F131105:N131109 F196641:N196645 F262177:N262181 F327713:N327717 F393249:N393253 F458785:N458789 F524321:N524325 F589857:N589861 F655393:N655397 F720929:N720933 F786465:N786469 F852001:N852005 F917537:N917541 F983073:N983077 B15:N16 B65577:N65577 B131113:N131113 B196649:N196649 B262185:N262185 B327721:N327721 B393257:N393257 B458793:N458793 B524329:N524329 B589865:N589865 B655401:N655401 B720937:N720937 B786473:N786473 B852009:N852009 B917545:N917545 B983081:N983081 WVE983081:WVV983081 WLI983081:WLZ983081 WBM983081:WCD983081 VRQ983081:VSH983081 VHU983081:VIL983081 UXY983081:UYP983081 UOC983081:UOT983081 UEG983081:UEX983081 TUK983081:TVB983081 TKO983081:TLF983081 TAS983081:TBJ983081 SQW983081:SRN983081 SHA983081:SHR983081 RXE983081:RXV983081 RNI983081:RNZ983081 RDM983081:RED983081 QTQ983081:QUH983081 QJU983081:QKL983081 PZY983081:QAP983081 PQC983081:PQT983081 PGG983081:PGX983081 OWK983081:OXB983081 OMO983081:ONF983081 OCS983081:ODJ983081 NSW983081:NTN983081 NJA983081:NJR983081 MZE983081:MZV983081 MPI983081:MPZ983081 MFM983081:MGD983081 LVQ983081:LWH983081 LLU983081:LML983081 LBY983081:LCP983081 KSC983081:KST983081 KIG983081:KIX983081 JYK983081:JZB983081 JOO983081:JPF983081 JES983081:JFJ983081 IUW983081:IVN983081 ILA983081:ILR983081 IBE983081:IBV983081 HRI983081:HRZ983081 HHM983081:HID983081 GXQ983081:GYH983081 GNU983081:GOL983081 GDY983081:GEP983081 FUC983081:FUT983081 FKG983081:FKX983081 FAK983081:FBB983081 EQO983081:ERF983081 EGS983081:EHJ983081 DWW983081:DXN983081 DNA983081:DNR983081 DDE983081:DDV983081 CTI983081:CTZ983081 CJM983081:CKD983081 BZQ983081:CAH983081 BPU983081:BQL983081 BFY983081:BGP983081 AWC983081:AWT983081 AMG983081:AMX983081 ACK983081:ADB983081 SO983081:TF983081 IS983081:JJ983081 WVE917545:WVV917545 WLI917545:WLZ917545 WBM917545:WCD917545 VRQ917545:VSH917545 VHU917545:VIL917545 UXY917545:UYP917545 UOC917545:UOT917545 UEG917545:UEX917545 TUK917545:TVB917545 TKO917545:TLF917545 TAS917545:TBJ917545 SQW917545:SRN917545 SHA917545:SHR917545 RXE917545:RXV917545 RNI917545:RNZ917545 RDM917545:RED917545 QTQ917545:QUH917545 QJU917545:QKL917545 PZY917545:QAP917545 PQC917545:PQT917545 PGG917545:PGX917545 OWK917545:OXB917545 OMO917545:ONF917545 OCS917545:ODJ917545 NSW917545:NTN917545 NJA917545:NJR917545 MZE917545:MZV917545 MPI917545:MPZ917545 MFM917545:MGD917545 LVQ917545:LWH917545 LLU917545:LML917545 LBY917545:LCP917545 KSC917545:KST917545 KIG917545:KIX917545 JYK917545:JZB917545 JOO917545:JPF917545 JES917545:JFJ917545 IUW917545:IVN917545 ILA917545:ILR917545 IBE917545:IBV917545 HRI917545:HRZ917545 HHM917545:HID917545 GXQ917545:GYH917545 GNU917545:GOL917545 GDY917545:GEP917545 FUC917545:FUT917545 FKG917545:FKX917545 FAK917545:FBB917545 EQO917545:ERF917545 EGS917545:EHJ917545 DWW917545:DXN917545 DNA917545:DNR917545 DDE917545:DDV917545 CTI917545:CTZ917545 CJM917545:CKD917545 BZQ917545:CAH917545 BPU917545:BQL917545 BFY917545:BGP917545 AWC917545:AWT917545 AMG917545:AMX917545 ACK917545:ADB917545 SO917545:TF917545 IS917545:JJ917545 WVE852009:WVV852009 WLI852009:WLZ852009 WBM852009:WCD852009 VRQ852009:VSH852009 VHU852009:VIL852009 UXY852009:UYP852009 UOC852009:UOT852009 UEG852009:UEX852009 TUK852009:TVB852009 TKO852009:TLF852009 TAS852009:TBJ852009 SQW852009:SRN852009 SHA852009:SHR852009 RXE852009:RXV852009 RNI852009:RNZ852009 RDM852009:RED852009 QTQ852009:QUH852009 QJU852009:QKL852009 PZY852009:QAP852009 PQC852009:PQT852009 PGG852009:PGX852009 OWK852009:OXB852009 OMO852009:ONF852009 OCS852009:ODJ852009 NSW852009:NTN852009 NJA852009:NJR852009 MZE852009:MZV852009 MPI852009:MPZ852009 MFM852009:MGD852009 LVQ852009:LWH852009 LLU852009:LML852009 LBY852009:LCP852009 KSC852009:KST852009 KIG852009:KIX852009 JYK852009:JZB852009 JOO852009:JPF852009 JES852009:JFJ852009 IUW852009:IVN852009 ILA852009:ILR852009 IBE852009:IBV852009 HRI852009:HRZ852009 HHM852009:HID852009 GXQ852009:GYH852009 GNU852009:GOL852009 GDY852009:GEP852009 FUC852009:FUT852009 FKG852009:FKX852009 FAK852009:FBB852009 EQO852009:ERF852009 EGS852009:EHJ852009 DWW852009:DXN852009 DNA852009:DNR852009 DDE852009:DDV852009 CTI852009:CTZ852009 CJM852009:CKD852009 BZQ852009:CAH852009 BPU852009:BQL852009 BFY852009:BGP852009 AWC852009:AWT852009 AMG852009:AMX852009 ACK852009:ADB852009 SO852009:TF852009 IS852009:JJ852009 WVE786473:WVV786473 WLI786473:WLZ786473 WBM786473:WCD786473 VRQ786473:VSH786473 VHU786473:VIL786473 UXY786473:UYP786473 UOC786473:UOT786473 UEG786473:UEX786473 TUK786473:TVB786473 TKO786473:TLF786473 TAS786473:TBJ786473 SQW786473:SRN786473 SHA786473:SHR786473 RXE786473:RXV786473 RNI786473:RNZ786473 RDM786473:RED786473 QTQ786473:QUH786473 QJU786473:QKL786473 PZY786473:QAP786473 PQC786473:PQT786473 PGG786473:PGX786473 OWK786473:OXB786473 OMO786473:ONF786473 OCS786473:ODJ786473 NSW786473:NTN786473 NJA786473:NJR786473 MZE786473:MZV786473 MPI786473:MPZ786473 MFM786473:MGD786473 LVQ786473:LWH786473 LLU786473:LML786473 LBY786473:LCP786473 KSC786473:KST786473 KIG786473:KIX786473 JYK786473:JZB786473 JOO786473:JPF786473 JES786473:JFJ786473 IUW786473:IVN786473 ILA786473:ILR786473 IBE786473:IBV786473 HRI786473:HRZ786473 HHM786473:HID786473 GXQ786473:GYH786473 GNU786473:GOL786473 GDY786473:GEP786473 FUC786473:FUT786473 FKG786473:FKX786473 FAK786473:FBB786473 EQO786473:ERF786473 EGS786473:EHJ786473 DWW786473:DXN786473 DNA786473:DNR786473 DDE786473:DDV786473 CTI786473:CTZ786473 CJM786473:CKD786473 BZQ786473:CAH786473 BPU786473:BQL786473 BFY786473:BGP786473 AWC786473:AWT786473 AMG786473:AMX786473 ACK786473:ADB786473 SO786473:TF786473 IS786473:JJ786473 WVE720937:WVV720937 WLI720937:WLZ720937 WBM720937:WCD720937 VRQ720937:VSH720937 VHU720937:VIL720937 UXY720937:UYP720937 UOC720937:UOT720937 UEG720937:UEX720937 TUK720937:TVB720937 TKO720937:TLF720937 TAS720937:TBJ720937 SQW720937:SRN720937 SHA720937:SHR720937 RXE720937:RXV720937 RNI720937:RNZ720937 RDM720937:RED720937 QTQ720937:QUH720937 QJU720937:QKL720937 PZY720937:QAP720937 PQC720937:PQT720937 PGG720937:PGX720937 OWK720937:OXB720937 OMO720937:ONF720937 OCS720937:ODJ720937 NSW720937:NTN720937 NJA720937:NJR720937 MZE720937:MZV720937 MPI720937:MPZ720937 MFM720937:MGD720937 LVQ720937:LWH720937 LLU720937:LML720937 LBY720937:LCP720937 KSC720937:KST720937 KIG720937:KIX720937 JYK720937:JZB720937 JOO720937:JPF720937 JES720937:JFJ720937 IUW720937:IVN720937 ILA720937:ILR720937 IBE720937:IBV720937 HRI720937:HRZ720937 HHM720937:HID720937 GXQ720937:GYH720937 GNU720937:GOL720937 GDY720937:GEP720937 FUC720937:FUT720937 FKG720937:FKX720937 FAK720937:FBB720937 EQO720937:ERF720937 EGS720937:EHJ720937 DWW720937:DXN720937 DNA720937:DNR720937 DDE720937:DDV720937 CTI720937:CTZ720937 CJM720937:CKD720937 BZQ720937:CAH720937 BPU720937:BQL720937 BFY720937:BGP720937 AWC720937:AWT720937 AMG720937:AMX720937 ACK720937:ADB720937 SO720937:TF720937 IS720937:JJ720937 WVE655401:WVV655401 WLI655401:WLZ655401 WBM655401:WCD655401 VRQ655401:VSH655401 VHU655401:VIL655401 UXY655401:UYP655401 UOC655401:UOT655401 UEG655401:UEX655401 TUK655401:TVB655401 TKO655401:TLF655401 TAS655401:TBJ655401 SQW655401:SRN655401 SHA655401:SHR655401 RXE655401:RXV655401 RNI655401:RNZ655401 RDM655401:RED655401 QTQ655401:QUH655401 QJU655401:QKL655401 PZY655401:QAP655401 PQC655401:PQT655401 PGG655401:PGX655401 OWK655401:OXB655401 OMO655401:ONF655401 OCS655401:ODJ655401 NSW655401:NTN655401 NJA655401:NJR655401 MZE655401:MZV655401 MPI655401:MPZ655401 MFM655401:MGD655401 LVQ655401:LWH655401 LLU655401:LML655401 LBY655401:LCP655401 KSC655401:KST655401 KIG655401:KIX655401 JYK655401:JZB655401 JOO655401:JPF655401 JES655401:JFJ655401 IUW655401:IVN655401 ILA655401:ILR655401 IBE655401:IBV655401 HRI655401:HRZ655401 HHM655401:HID655401 GXQ655401:GYH655401 GNU655401:GOL655401 GDY655401:GEP655401 FUC655401:FUT655401 FKG655401:FKX655401 FAK655401:FBB655401 EQO655401:ERF655401 EGS655401:EHJ655401 DWW655401:DXN655401 DNA655401:DNR655401 DDE655401:DDV655401 CTI655401:CTZ655401 CJM655401:CKD655401 BZQ655401:CAH655401 BPU655401:BQL655401 BFY655401:BGP655401 AWC655401:AWT655401 AMG655401:AMX655401 ACK655401:ADB655401 SO655401:TF655401 IS655401:JJ655401 WVE589865:WVV589865 WLI589865:WLZ589865 WBM589865:WCD589865 VRQ589865:VSH589865 VHU589865:VIL589865 UXY589865:UYP589865 UOC589865:UOT589865 UEG589865:UEX589865 TUK589865:TVB589865 TKO589865:TLF589865 TAS589865:TBJ589865 SQW589865:SRN589865 SHA589865:SHR589865 RXE589865:RXV589865 RNI589865:RNZ589865 RDM589865:RED589865 QTQ589865:QUH589865 QJU589865:QKL589865 PZY589865:QAP589865 PQC589865:PQT589865 PGG589865:PGX589865 OWK589865:OXB589865 OMO589865:ONF589865 OCS589865:ODJ589865 NSW589865:NTN589865 NJA589865:NJR589865 MZE589865:MZV589865 MPI589865:MPZ589865 MFM589865:MGD589865 LVQ589865:LWH589865 LLU589865:LML589865 LBY589865:LCP589865 KSC589865:KST589865 KIG589865:KIX589865 JYK589865:JZB589865 JOO589865:JPF589865 JES589865:JFJ589865 IUW589865:IVN589865 ILA589865:ILR589865 IBE589865:IBV589865 HRI589865:HRZ589865 HHM589865:HID589865 GXQ589865:GYH589865 GNU589865:GOL589865 GDY589865:GEP589865 FUC589865:FUT589865 FKG589865:FKX589865 FAK589865:FBB589865 EQO589865:ERF589865 EGS589865:EHJ589865 DWW589865:DXN589865 DNA589865:DNR589865 DDE589865:DDV589865 CTI589865:CTZ589865 CJM589865:CKD589865 BZQ589865:CAH589865 BPU589865:BQL589865 BFY589865:BGP589865 AWC589865:AWT589865 AMG589865:AMX589865 ACK589865:ADB589865 SO589865:TF589865 IS589865:JJ589865 WVE524329:WVV524329 WLI524329:WLZ524329 WBM524329:WCD524329 VRQ524329:VSH524329 VHU524329:VIL524329 UXY524329:UYP524329 UOC524329:UOT524329 UEG524329:UEX524329 TUK524329:TVB524329 TKO524329:TLF524329 TAS524329:TBJ524329 SQW524329:SRN524329 SHA524329:SHR524329 RXE524329:RXV524329 RNI524329:RNZ524329 RDM524329:RED524329 QTQ524329:QUH524329 QJU524329:QKL524329 PZY524329:QAP524329 PQC524329:PQT524329 PGG524329:PGX524329 OWK524329:OXB524329 OMO524329:ONF524329 OCS524329:ODJ524329 NSW524329:NTN524329 NJA524329:NJR524329 MZE524329:MZV524329 MPI524329:MPZ524329 MFM524329:MGD524329 LVQ524329:LWH524329 LLU524329:LML524329 LBY524329:LCP524329 KSC524329:KST524329 KIG524329:KIX524329 JYK524329:JZB524329 JOO524329:JPF524329 JES524329:JFJ524329 IUW524329:IVN524329 ILA524329:ILR524329 IBE524329:IBV524329 HRI524329:HRZ524329 HHM524329:HID524329 GXQ524329:GYH524329 GNU524329:GOL524329 GDY524329:GEP524329 FUC524329:FUT524329 FKG524329:FKX524329 FAK524329:FBB524329 EQO524329:ERF524329 EGS524329:EHJ524329 DWW524329:DXN524329 DNA524329:DNR524329 DDE524329:DDV524329 CTI524329:CTZ524329 CJM524329:CKD524329 BZQ524329:CAH524329 BPU524329:BQL524329 BFY524329:BGP524329 AWC524329:AWT524329 AMG524329:AMX524329 ACK524329:ADB524329 SO524329:TF524329 IS524329:JJ524329 WVE458793:WVV458793 WLI458793:WLZ458793 WBM458793:WCD458793 VRQ458793:VSH458793 VHU458793:VIL458793 UXY458793:UYP458793 UOC458793:UOT458793 UEG458793:UEX458793 TUK458793:TVB458793 TKO458793:TLF458793 TAS458793:TBJ458793 SQW458793:SRN458793 SHA458793:SHR458793 RXE458793:RXV458793 RNI458793:RNZ458793 RDM458793:RED458793 QTQ458793:QUH458793 QJU458793:QKL458793 PZY458793:QAP458793 PQC458793:PQT458793 PGG458793:PGX458793 OWK458793:OXB458793 OMO458793:ONF458793 OCS458793:ODJ458793 NSW458793:NTN458793 NJA458793:NJR458793 MZE458793:MZV458793 MPI458793:MPZ458793 MFM458793:MGD458793 LVQ458793:LWH458793 LLU458793:LML458793 LBY458793:LCP458793 KSC458793:KST458793 KIG458793:KIX458793 JYK458793:JZB458793 JOO458793:JPF458793 JES458793:JFJ458793 IUW458793:IVN458793 ILA458793:ILR458793 IBE458793:IBV458793 HRI458793:HRZ458793 HHM458793:HID458793 GXQ458793:GYH458793 GNU458793:GOL458793 GDY458793:GEP458793 FUC458793:FUT458793 FKG458793:FKX458793 FAK458793:FBB458793 EQO458793:ERF458793 EGS458793:EHJ458793 DWW458793:DXN458793 DNA458793:DNR458793 DDE458793:DDV458793 CTI458793:CTZ458793 CJM458793:CKD458793 BZQ458793:CAH458793 BPU458793:BQL458793 BFY458793:BGP458793 AWC458793:AWT458793 AMG458793:AMX458793 ACK458793:ADB458793 SO458793:TF458793 IS458793:JJ458793 WVE393257:WVV393257 WLI393257:WLZ393257 WBM393257:WCD393257 VRQ393257:VSH393257 VHU393257:VIL393257 UXY393257:UYP393257 UOC393257:UOT393257 UEG393257:UEX393257 TUK393257:TVB393257 TKO393257:TLF393257 TAS393257:TBJ393257 SQW393257:SRN393257 SHA393257:SHR393257 RXE393257:RXV393257 RNI393257:RNZ393257 RDM393257:RED393257 QTQ393257:QUH393257 QJU393257:QKL393257 PZY393257:QAP393257 PQC393257:PQT393257 PGG393257:PGX393257 OWK393257:OXB393257 OMO393257:ONF393257 OCS393257:ODJ393257 NSW393257:NTN393257 NJA393257:NJR393257 MZE393257:MZV393257 MPI393257:MPZ393257 MFM393257:MGD393257 LVQ393257:LWH393257 LLU393257:LML393257 LBY393257:LCP393257 KSC393257:KST393257 KIG393257:KIX393257 JYK393257:JZB393257 JOO393257:JPF393257 JES393257:JFJ393257 IUW393257:IVN393257 ILA393257:ILR393257 IBE393257:IBV393257 HRI393257:HRZ393257 HHM393257:HID393257 GXQ393257:GYH393257 GNU393257:GOL393257 GDY393257:GEP393257 FUC393257:FUT393257 FKG393257:FKX393257 FAK393257:FBB393257 EQO393257:ERF393257 EGS393257:EHJ393257 DWW393257:DXN393257 DNA393257:DNR393257 DDE393257:DDV393257 CTI393257:CTZ393257 CJM393257:CKD393257 BZQ393257:CAH393257 BPU393257:BQL393257 BFY393257:BGP393257 AWC393257:AWT393257 AMG393257:AMX393257 ACK393257:ADB393257 SO393257:TF393257 IS393257:JJ393257 WVE327721:WVV327721 WLI327721:WLZ327721 WBM327721:WCD327721 VRQ327721:VSH327721 VHU327721:VIL327721 UXY327721:UYP327721 UOC327721:UOT327721 UEG327721:UEX327721 TUK327721:TVB327721 TKO327721:TLF327721 TAS327721:TBJ327721 SQW327721:SRN327721 SHA327721:SHR327721 RXE327721:RXV327721 RNI327721:RNZ327721 RDM327721:RED327721 QTQ327721:QUH327721 QJU327721:QKL327721 PZY327721:QAP327721 PQC327721:PQT327721 PGG327721:PGX327721 OWK327721:OXB327721 OMO327721:ONF327721 OCS327721:ODJ327721 NSW327721:NTN327721 NJA327721:NJR327721 MZE327721:MZV327721 MPI327721:MPZ327721 MFM327721:MGD327721 LVQ327721:LWH327721 LLU327721:LML327721 LBY327721:LCP327721 KSC327721:KST327721 KIG327721:KIX327721 JYK327721:JZB327721 JOO327721:JPF327721 JES327721:JFJ327721 IUW327721:IVN327721 ILA327721:ILR327721 IBE327721:IBV327721 HRI327721:HRZ327721 HHM327721:HID327721 GXQ327721:GYH327721 GNU327721:GOL327721 GDY327721:GEP327721 FUC327721:FUT327721 FKG327721:FKX327721 FAK327721:FBB327721 EQO327721:ERF327721 EGS327721:EHJ327721 DWW327721:DXN327721 DNA327721:DNR327721 DDE327721:DDV327721 CTI327721:CTZ327721 CJM327721:CKD327721 BZQ327721:CAH327721 BPU327721:BQL327721 BFY327721:BGP327721 AWC327721:AWT327721 AMG327721:AMX327721 ACK327721:ADB327721 SO327721:TF327721 IS327721:JJ327721 WVE262185:WVV262185 WLI262185:WLZ262185 WBM262185:WCD262185 VRQ262185:VSH262185 VHU262185:VIL262185 UXY262185:UYP262185 UOC262185:UOT262185 UEG262185:UEX262185 TUK262185:TVB262185 TKO262185:TLF262185 TAS262185:TBJ262185 SQW262185:SRN262185 SHA262185:SHR262185 RXE262185:RXV262185 RNI262185:RNZ262185 RDM262185:RED262185 QTQ262185:QUH262185 QJU262185:QKL262185 PZY262185:QAP262185 PQC262185:PQT262185 PGG262185:PGX262185 OWK262185:OXB262185 OMO262185:ONF262185 OCS262185:ODJ262185 NSW262185:NTN262185 NJA262185:NJR262185 MZE262185:MZV262185 MPI262185:MPZ262185 MFM262185:MGD262185 LVQ262185:LWH262185 LLU262185:LML262185 LBY262185:LCP262185 KSC262185:KST262185 KIG262185:KIX262185 JYK262185:JZB262185 JOO262185:JPF262185 JES262185:JFJ262185 IUW262185:IVN262185 ILA262185:ILR262185 IBE262185:IBV262185 HRI262185:HRZ262185 HHM262185:HID262185 GXQ262185:GYH262185 GNU262185:GOL262185 GDY262185:GEP262185 FUC262185:FUT262185 FKG262185:FKX262185 FAK262185:FBB262185 EQO262185:ERF262185 EGS262185:EHJ262185 DWW262185:DXN262185 DNA262185:DNR262185 DDE262185:DDV262185 CTI262185:CTZ262185 CJM262185:CKD262185 BZQ262185:CAH262185 BPU262185:BQL262185 BFY262185:BGP262185 AWC262185:AWT262185 AMG262185:AMX262185 ACK262185:ADB262185 SO262185:TF262185 IS262185:JJ262185 WVE196649:WVV196649 WLI196649:WLZ196649 WBM196649:WCD196649 VRQ196649:VSH196649 VHU196649:VIL196649 UXY196649:UYP196649 UOC196649:UOT196649 UEG196649:UEX196649 TUK196649:TVB196649 TKO196649:TLF196649 TAS196649:TBJ196649 SQW196649:SRN196649 SHA196649:SHR196649 RXE196649:RXV196649 RNI196649:RNZ196649 RDM196649:RED196649 QTQ196649:QUH196649 QJU196649:QKL196649 PZY196649:QAP196649 PQC196649:PQT196649 PGG196649:PGX196649 OWK196649:OXB196649 OMO196649:ONF196649 OCS196649:ODJ196649 NSW196649:NTN196649 NJA196649:NJR196649 MZE196649:MZV196649 MPI196649:MPZ196649 MFM196649:MGD196649 LVQ196649:LWH196649 LLU196649:LML196649 LBY196649:LCP196649 KSC196649:KST196649 KIG196649:KIX196649 JYK196649:JZB196649 JOO196649:JPF196649 JES196649:JFJ196649 IUW196649:IVN196649 ILA196649:ILR196649 IBE196649:IBV196649 HRI196649:HRZ196649 HHM196649:HID196649 GXQ196649:GYH196649 GNU196649:GOL196649 GDY196649:GEP196649 FUC196649:FUT196649 FKG196649:FKX196649 FAK196649:FBB196649 EQO196649:ERF196649 EGS196649:EHJ196649 DWW196649:DXN196649 DNA196649:DNR196649 DDE196649:DDV196649 CTI196649:CTZ196649 CJM196649:CKD196649 BZQ196649:CAH196649 BPU196649:BQL196649 BFY196649:BGP196649 AWC196649:AWT196649 AMG196649:AMX196649 ACK196649:ADB196649 SO196649:TF196649 IS196649:JJ196649 WVE131113:WVV131113 WLI131113:WLZ131113 WBM131113:WCD131113 VRQ131113:VSH131113 VHU131113:VIL131113 UXY131113:UYP131113 UOC131113:UOT131113 UEG131113:UEX131113 TUK131113:TVB131113 TKO131113:TLF131113 TAS131113:TBJ131113 SQW131113:SRN131113 SHA131113:SHR131113 RXE131113:RXV131113 RNI131113:RNZ131113 RDM131113:RED131113 QTQ131113:QUH131113 QJU131113:QKL131113 PZY131113:QAP131113 PQC131113:PQT131113 PGG131113:PGX131113 OWK131113:OXB131113 OMO131113:ONF131113 OCS131113:ODJ131113 NSW131113:NTN131113 NJA131113:NJR131113 MZE131113:MZV131113 MPI131113:MPZ131113 MFM131113:MGD131113 LVQ131113:LWH131113 LLU131113:LML131113 LBY131113:LCP131113 KSC131113:KST131113 KIG131113:KIX131113 JYK131113:JZB131113 JOO131113:JPF131113 JES131113:JFJ131113 IUW131113:IVN131113 ILA131113:ILR131113 IBE131113:IBV131113 HRI131113:HRZ131113 HHM131113:HID131113 GXQ131113:GYH131113 GNU131113:GOL131113 GDY131113:GEP131113 FUC131113:FUT131113 FKG131113:FKX131113 FAK131113:FBB131113 EQO131113:ERF131113 EGS131113:EHJ131113 DWW131113:DXN131113 DNA131113:DNR131113 DDE131113:DDV131113 CTI131113:CTZ131113 CJM131113:CKD131113 BZQ131113:CAH131113 BPU131113:BQL131113 BFY131113:BGP131113 AWC131113:AWT131113 AMG131113:AMX131113 ACK131113:ADB131113 SO131113:TF131113 IS131113:JJ131113 WVE65577:WVV65577 WLI65577:WLZ65577 WBM65577:WCD65577 VRQ65577:VSH65577 VHU65577:VIL65577 UXY65577:UYP65577 UOC65577:UOT65577 UEG65577:UEX65577 TUK65577:TVB65577 TKO65577:TLF65577 TAS65577:TBJ65577 SQW65577:SRN65577 SHA65577:SHR65577 RXE65577:RXV65577 RNI65577:RNZ65577 RDM65577:RED65577 QTQ65577:QUH65577 QJU65577:QKL65577 PZY65577:QAP65577 PQC65577:PQT65577 PGG65577:PGX65577 OWK65577:OXB65577 OMO65577:ONF65577 OCS65577:ODJ65577 NSW65577:NTN65577 NJA65577:NJR65577 MZE65577:MZV65577 MPI65577:MPZ65577 MFM65577:MGD65577 LVQ65577:LWH65577 LLU65577:LML65577 LBY65577:LCP65577 KSC65577:KST65577 KIG65577:KIX65577 JYK65577:JZB65577 JOO65577:JPF65577 JES65577:JFJ65577 IUW65577:IVN65577 ILA65577:ILR65577 IBE65577:IBV65577 HRI65577:HRZ65577 HHM65577:HID65577 GXQ65577:GYH65577 GNU65577:GOL65577 GDY65577:GEP65577 FUC65577:FUT65577 FKG65577:FKX65577 FAK65577:FBB65577 EQO65577:ERF65577 EGS65577:EHJ65577 DWW65577:DXN65577 DNA65577:DNR65577 DDE65577:DDV65577 CTI65577:CTZ65577 CJM65577:CKD65577 BZQ65577:CAH65577 BPU65577:BQL65577 BFY65577:BGP65577 AWC65577:AWT65577 AMG65577:AMX65577 ACK65577:ADB65577 SO65577:TF65577 IS65577:JJ65577 WVE16:WVV16 WLI16:WLZ16 WBM16:WCD16 VRQ16:VSH16 VHU16:VIL16 UXY16:UYP16 UOC16:UOT16 UEG16:UEX16 TUK16:TVB16 TKO16:TLF16 TAS16:TBJ16 SQW16:SRN16 SHA16:SHR16 RXE16:RXV16 RNI16:RNZ16 RDM16:RED16 QTQ16:QUH16 QJU16:QKL16 PZY16:QAP16 PQC16:PQT16 PGG16:PGX16 OWK16:OXB16 OMO16:ONF16 OCS16:ODJ16 NSW16:NTN16 NJA16:NJR16 MZE16:MZV16 MPI16:MPZ16 MFM16:MGD16 LVQ16:LWH16 LLU16:LML16 LBY16:LCP16 KSC16:KST16 KIG16:KIX16 JYK16:JZB16 JOO16:JPF16 JES16:JFJ16 IUW16:IVN16 ILA16:ILR16 IBE16:IBV16 HRI16:HRZ16 HHM16:HID16 GXQ16:GYH16 GNU16:GOL16 GDY16:GEP16 FUC16:FUT16 FKG16:FKX16 FAK16:FBB16 EQO16:ERF16 EGS16:EHJ16 DWW16:DXN16 DNA16:DNR16 DDE16:DDV16 CTI16:CTZ16 CJM16:CKD16 BZQ16:CAH16 BPU16:BQL16 BFY16:BGP16 AWC16:AWT16 AMG16:AMX16 ACK16:ADB16 SO16:TF16 IS16:JJ16 WVI983075:WVJ983077 WLM983075:WLN983077 WBQ983075:WBR983077 VRU983075:VRV983077 VHY983075:VHZ983077 UYC983075:UYD983077 UOG983075:UOH983077 UEK983075:UEL983077 TUO983075:TUP983077 TKS983075:TKT983077 TAW983075:TAX983077 SRA983075:SRB983077 SHE983075:SHF983077 RXI983075:RXJ983077 RNM983075:RNN983077 RDQ983075:RDR983077 QTU983075:QTV983077 QJY983075:QJZ983077 QAC983075:QAD983077 PQG983075:PQH983077 PGK983075:PGL983077 OWO983075:OWP983077 OMS983075:OMT983077 OCW983075:OCX983077 NTA983075:NTB983077 NJE983075:NJF983077 MZI983075:MZJ983077 MPM983075:MPN983077 MFQ983075:MFR983077 LVU983075:LVV983077 LLY983075:LLZ983077 LCC983075:LCD983077 KSG983075:KSH983077 KIK983075:KIL983077 JYO983075:JYP983077 JOS983075:JOT983077 JEW983075:JEX983077 IVA983075:IVB983077 ILE983075:ILF983077 IBI983075:IBJ983077 HRM983075:HRN983077 HHQ983075:HHR983077 GXU983075:GXV983077 GNY983075:GNZ983077 GEC983075:GED983077 FUG983075:FUH983077 FKK983075:FKL983077 FAO983075:FAP983077 EQS983075:EQT983077 EGW983075:EGX983077 DXA983075:DXB983077 DNE983075:DNF983077 DDI983075:DDJ983077 CTM983075:CTN983077 CJQ983075:CJR983077 BZU983075:BZV983077 BPY983075:BPZ983077 BGC983075:BGD983077 AWG983075:AWH983077 AMK983075:AML983077 ACO983075:ACP983077 SS983075:ST983077 IW983075:IX983077 E983075:E983077 WVI917539:WVJ917541 WLM917539:WLN917541 WBQ917539:WBR917541 VRU917539:VRV917541 VHY917539:VHZ917541 UYC917539:UYD917541 UOG917539:UOH917541 UEK917539:UEL917541 TUO917539:TUP917541 TKS917539:TKT917541 TAW917539:TAX917541 SRA917539:SRB917541 SHE917539:SHF917541 RXI917539:RXJ917541 RNM917539:RNN917541 RDQ917539:RDR917541 QTU917539:QTV917541 QJY917539:QJZ917541 QAC917539:QAD917541 PQG917539:PQH917541 PGK917539:PGL917541 OWO917539:OWP917541 OMS917539:OMT917541 OCW917539:OCX917541 NTA917539:NTB917541 NJE917539:NJF917541 MZI917539:MZJ917541 MPM917539:MPN917541 MFQ917539:MFR917541 LVU917539:LVV917541 LLY917539:LLZ917541 LCC917539:LCD917541 KSG917539:KSH917541 KIK917539:KIL917541 JYO917539:JYP917541 JOS917539:JOT917541 JEW917539:JEX917541 IVA917539:IVB917541 ILE917539:ILF917541 IBI917539:IBJ917541 HRM917539:HRN917541 HHQ917539:HHR917541 GXU917539:GXV917541 GNY917539:GNZ917541 GEC917539:GED917541 FUG917539:FUH917541 FKK917539:FKL917541 FAO917539:FAP917541 EQS917539:EQT917541 EGW917539:EGX917541 DXA917539:DXB917541 DNE917539:DNF917541 DDI917539:DDJ917541 CTM917539:CTN917541 CJQ917539:CJR917541 BZU917539:BZV917541 BPY917539:BPZ917541 BGC917539:BGD917541 AWG917539:AWH917541 AMK917539:AML917541 ACO917539:ACP917541 SS917539:ST917541 IW917539:IX917541 E917539:E917541 WVI852003:WVJ852005 WLM852003:WLN852005 WBQ852003:WBR852005 VRU852003:VRV852005 VHY852003:VHZ852005 UYC852003:UYD852005 UOG852003:UOH852005 UEK852003:UEL852005 TUO852003:TUP852005 TKS852003:TKT852005 TAW852003:TAX852005 SRA852003:SRB852005 SHE852003:SHF852005 RXI852003:RXJ852005 RNM852003:RNN852005 RDQ852003:RDR852005 QTU852003:QTV852005 QJY852003:QJZ852005 QAC852003:QAD852005 PQG852003:PQH852005 PGK852003:PGL852005 OWO852003:OWP852005 OMS852003:OMT852005 OCW852003:OCX852005 NTA852003:NTB852005 NJE852003:NJF852005 MZI852003:MZJ852005 MPM852003:MPN852005 MFQ852003:MFR852005 LVU852003:LVV852005 LLY852003:LLZ852005 LCC852003:LCD852005 KSG852003:KSH852005 KIK852003:KIL852005 JYO852003:JYP852005 JOS852003:JOT852005 JEW852003:JEX852005 IVA852003:IVB852005 ILE852003:ILF852005 IBI852003:IBJ852005 HRM852003:HRN852005 HHQ852003:HHR852005 GXU852003:GXV852005 GNY852003:GNZ852005 GEC852003:GED852005 FUG852003:FUH852005 FKK852003:FKL852005 FAO852003:FAP852005 EQS852003:EQT852005 EGW852003:EGX852005 DXA852003:DXB852005 DNE852003:DNF852005 DDI852003:DDJ852005 CTM852003:CTN852005 CJQ852003:CJR852005 BZU852003:BZV852005 BPY852003:BPZ852005 BGC852003:BGD852005 AWG852003:AWH852005 AMK852003:AML852005 ACO852003:ACP852005 SS852003:ST852005 IW852003:IX852005 E852003:E852005 WVI786467:WVJ786469 WLM786467:WLN786469 WBQ786467:WBR786469 VRU786467:VRV786469 VHY786467:VHZ786469 UYC786467:UYD786469 UOG786467:UOH786469 UEK786467:UEL786469 TUO786467:TUP786469 TKS786467:TKT786469 TAW786467:TAX786469 SRA786467:SRB786469 SHE786467:SHF786469 RXI786467:RXJ786469 RNM786467:RNN786469 RDQ786467:RDR786469 QTU786467:QTV786469 QJY786467:QJZ786469 QAC786467:QAD786469 PQG786467:PQH786469 PGK786467:PGL786469 OWO786467:OWP786469 OMS786467:OMT786469 OCW786467:OCX786469 NTA786467:NTB786469 NJE786467:NJF786469 MZI786467:MZJ786469 MPM786467:MPN786469 MFQ786467:MFR786469 LVU786467:LVV786469 LLY786467:LLZ786469 LCC786467:LCD786469 KSG786467:KSH786469 KIK786467:KIL786469 JYO786467:JYP786469 JOS786467:JOT786469 JEW786467:JEX786469 IVA786467:IVB786469 ILE786467:ILF786469 IBI786467:IBJ786469 HRM786467:HRN786469 HHQ786467:HHR786469 GXU786467:GXV786469 GNY786467:GNZ786469 GEC786467:GED786469 FUG786467:FUH786469 FKK786467:FKL786469 FAO786467:FAP786469 EQS786467:EQT786469 EGW786467:EGX786469 DXA786467:DXB786469 DNE786467:DNF786469 DDI786467:DDJ786469 CTM786467:CTN786469 CJQ786467:CJR786469 BZU786467:BZV786469 BPY786467:BPZ786469 BGC786467:BGD786469 AWG786467:AWH786469 AMK786467:AML786469 ACO786467:ACP786469 SS786467:ST786469 IW786467:IX786469 E786467:E786469 WVI720931:WVJ720933 WLM720931:WLN720933 WBQ720931:WBR720933 VRU720931:VRV720933 VHY720931:VHZ720933 UYC720931:UYD720933 UOG720931:UOH720933 UEK720931:UEL720933 TUO720931:TUP720933 TKS720931:TKT720933 TAW720931:TAX720933 SRA720931:SRB720933 SHE720931:SHF720933 RXI720931:RXJ720933 RNM720931:RNN720933 RDQ720931:RDR720933 QTU720931:QTV720933 QJY720931:QJZ720933 QAC720931:QAD720933 PQG720931:PQH720933 PGK720931:PGL720933 OWO720931:OWP720933 OMS720931:OMT720933 OCW720931:OCX720933 NTA720931:NTB720933 NJE720931:NJF720933 MZI720931:MZJ720933 MPM720931:MPN720933 MFQ720931:MFR720933 LVU720931:LVV720933 LLY720931:LLZ720933 LCC720931:LCD720933 KSG720931:KSH720933 KIK720931:KIL720933 JYO720931:JYP720933 JOS720931:JOT720933 JEW720931:JEX720933 IVA720931:IVB720933 ILE720931:ILF720933 IBI720931:IBJ720933 HRM720931:HRN720933 HHQ720931:HHR720933 GXU720931:GXV720933 GNY720931:GNZ720933 GEC720931:GED720933 FUG720931:FUH720933 FKK720931:FKL720933 FAO720931:FAP720933 EQS720931:EQT720933 EGW720931:EGX720933 DXA720931:DXB720933 DNE720931:DNF720933 DDI720931:DDJ720933 CTM720931:CTN720933 CJQ720931:CJR720933 BZU720931:BZV720933 BPY720931:BPZ720933 BGC720931:BGD720933 AWG720931:AWH720933 AMK720931:AML720933 ACO720931:ACP720933 SS720931:ST720933 IW720931:IX720933 E720931:E720933 WVI655395:WVJ655397 WLM655395:WLN655397 WBQ655395:WBR655397 VRU655395:VRV655397 VHY655395:VHZ655397 UYC655395:UYD655397 UOG655395:UOH655397 UEK655395:UEL655397 TUO655395:TUP655397 TKS655395:TKT655397 TAW655395:TAX655397 SRA655395:SRB655397 SHE655395:SHF655397 RXI655395:RXJ655397 RNM655395:RNN655397 RDQ655395:RDR655397 QTU655395:QTV655397 QJY655395:QJZ655397 QAC655395:QAD655397 PQG655395:PQH655397 PGK655395:PGL655397 OWO655395:OWP655397 OMS655395:OMT655397 OCW655395:OCX655397 NTA655395:NTB655397 NJE655395:NJF655397 MZI655395:MZJ655397 MPM655395:MPN655397 MFQ655395:MFR655397 LVU655395:LVV655397 LLY655395:LLZ655397 LCC655395:LCD655397 KSG655395:KSH655397 KIK655395:KIL655397 JYO655395:JYP655397 JOS655395:JOT655397 JEW655395:JEX655397 IVA655395:IVB655397 ILE655395:ILF655397 IBI655395:IBJ655397 HRM655395:HRN655397 HHQ655395:HHR655397 GXU655395:GXV655397 GNY655395:GNZ655397 GEC655395:GED655397 FUG655395:FUH655397 FKK655395:FKL655397 FAO655395:FAP655397 EQS655395:EQT655397 EGW655395:EGX655397 DXA655395:DXB655397 DNE655395:DNF655397 DDI655395:DDJ655397 CTM655395:CTN655397 CJQ655395:CJR655397 BZU655395:BZV655397 BPY655395:BPZ655397 BGC655395:BGD655397 AWG655395:AWH655397 AMK655395:AML655397 ACO655395:ACP655397 SS655395:ST655397 IW655395:IX655397 E655395:E655397 WVI589859:WVJ589861 WLM589859:WLN589861 WBQ589859:WBR589861 VRU589859:VRV589861 VHY589859:VHZ589861 UYC589859:UYD589861 UOG589859:UOH589861 UEK589859:UEL589861 TUO589859:TUP589861 TKS589859:TKT589861 TAW589859:TAX589861 SRA589859:SRB589861 SHE589859:SHF589861 RXI589859:RXJ589861 RNM589859:RNN589861 RDQ589859:RDR589861 QTU589859:QTV589861 QJY589859:QJZ589861 QAC589859:QAD589861 PQG589859:PQH589861 PGK589859:PGL589861 OWO589859:OWP589861 OMS589859:OMT589861 OCW589859:OCX589861 NTA589859:NTB589861 NJE589859:NJF589861 MZI589859:MZJ589861 MPM589859:MPN589861 MFQ589859:MFR589861 LVU589859:LVV589861 LLY589859:LLZ589861 LCC589859:LCD589861 KSG589859:KSH589861 KIK589859:KIL589861 JYO589859:JYP589861 JOS589859:JOT589861 JEW589859:JEX589861 IVA589859:IVB589861 ILE589859:ILF589861 IBI589859:IBJ589861 HRM589859:HRN589861 HHQ589859:HHR589861 GXU589859:GXV589861 GNY589859:GNZ589861 GEC589859:GED589861 FUG589859:FUH589861 FKK589859:FKL589861 FAO589859:FAP589861 EQS589859:EQT589861 EGW589859:EGX589861 DXA589859:DXB589861 DNE589859:DNF589861 DDI589859:DDJ589861 CTM589859:CTN589861 CJQ589859:CJR589861 BZU589859:BZV589861 BPY589859:BPZ589861 BGC589859:BGD589861 AWG589859:AWH589861 AMK589859:AML589861 ACO589859:ACP589861 SS589859:ST589861 IW589859:IX589861 E589859:E589861 WVI524323:WVJ524325 WLM524323:WLN524325 WBQ524323:WBR524325 VRU524323:VRV524325 VHY524323:VHZ524325 UYC524323:UYD524325 UOG524323:UOH524325 UEK524323:UEL524325 TUO524323:TUP524325 TKS524323:TKT524325 TAW524323:TAX524325 SRA524323:SRB524325 SHE524323:SHF524325 RXI524323:RXJ524325 RNM524323:RNN524325 RDQ524323:RDR524325 QTU524323:QTV524325 QJY524323:QJZ524325 QAC524323:QAD524325 PQG524323:PQH524325 PGK524323:PGL524325 OWO524323:OWP524325 OMS524323:OMT524325 OCW524323:OCX524325 NTA524323:NTB524325 NJE524323:NJF524325 MZI524323:MZJ524325 MPM524323:MPN524325 MFQ524323:MFR524325 LVU524323:LVV524325 LLY524323:LLZ524325 LCC524323:LCD524325 KSG524323:KSH524325 KIK524323:KIL524325 JYO524323:JYP524325 JOS524323:JOT524325 JEW524323:JEX524325 IVA524323:IVB524325 ILE524323:ILF524325 IBI524323:IBJ524325 HRM524323:HRN524325 HHQ524323:HHR524325 GXU524323:GXV524325 GNY524323:GNZ524325 GEC524323:GED524325 FUG524323:FUH524325 FKK524323:FKL524325 FAO524323:FAP524325 EQS524323:EQT524325 EGW524323:EGX524325 DXA524323:DXB524325 DNE524323:DNF524325 DDI524323:DDJ524325 CTM524323:CTN524325 CJQ524323:CJR524325 BZU524323:BZV524325 BPY524323:BPZ524325 BGC524323:BGD524325 AWG524323:AWH524325 AMK524323:AML524325 ACO524323:ACP524325 SS524323:ST524325 IW524323:IX524325 E524323:E524325 WVI458787:WVJ458789 WLM458787:WLN458789 WBQ458787:WBR458789 VRU458787:VRV458789 VHY458787:VHZ458789 UYC458787:UYD458789 UOG458787:UOH458789 UEK458787:UEL458789 TUO458787:TUP458789 TKS458787:TKT458789 TAW458787:TAX458789 SRA458787:SRB458789 SHE458787:SHF458789 RXI458787:RXJ458789 RNM458787:RNN458789 RDQ458787:RDR458789 QTU458787:QTV458789 QJY458787:QJZ458789 QAC458787:QAD458789 PQG458787:PQH458789 PGK458787:PGL458789 OWO458787:OWP458789 OMS458787:OMT458789 OCW458787:OCX458789 NTA458787:NTB458789 NJE458787:NJF458789 MZI458787:MZJ458789 MPM458787:MPN458789 MFQ458787:MFR458789 LVU458787:LVV458789 LLY458787:LLZ458789 LCC458787:LCD458789 KSG458787:KSH458789 KIK458787:KIL458789 JYO458787:JYP458789 JOS458787:JOT458789 JEW458787:JEX458789 IVA458787:IVB458789 ILE458787:ILF458789 IBI458787:IBJ458789 HRM458787:HRN458789 HHQ458787:HHR458789 GXU458787:GXV458789 GNY458787:GNZ458789 GEC458787:GED458789 FUG458787:FUH458789 FKK458787:FKL458789 FAO458787:FAP458789 EQS458787:EQT458789 EGW458787:EGX458789 DXA458787:DXB458789 DNE458787:DNF458789 DDI458787:DDJ458789 CTM458787:CTN458789 CJQ458787:CJR458789 BZU458787:BZV458789 BPY458787:BPZ458789 BGC458787:BGD458789 AWG458787:AWH458789 AMK458787:AML458789 ACO458787:ACP458789 SS458787:ST458789 IW458787:IX458789 E458787:E458789 WVI393251:WVJ393253 WLM393251:WLN393253 WBQ393251:WBR393253 VRU393251:VRV393253 VHY393251:VHZ393253 UYC393251:UYD393253 UOG393251:UOH393253 UEK393251:UEL393253 TUO393251:TUP393253 TKS393251:TKT393253 TAW393251:TAX393253 SRA393251:SRB393253 SHE393251:SHF393253 RXI393251:RXJ393253 RNM393251:RNN393253 RDQ393251:RDR393253 QTU393251:QTV393253 QJY393251:QJZ393253 QAC393251:QAD393253 PQG393251:PQH393253 PGK393251:PGL393253 OWO393251:OWP393253 OMS393251:OMT393253 OCW393251:OCX393253 NTA393251:NTB393253 NJE393251:NJF393253 MZI393251:MZJ393253 MPM393251:MPN393253 MFQ393251:MFR393253 LVU393251:LVV393253 LLY393251:LLZ393253 LCC393251:LCD393253 KSG393251:KSH393253 KIK393251:KIL393253 JYO393251:JYP393253 JOS393251:JOT393253 JEW393251:JEX393253 IVA393251:IVB393253 ILE393251:ILF393253 IBI393251:IBJ393253 HRM393251:HRN393253 HHQ393251:HHR393253 GXU393251:GXV393253 GNY393251:GNZ393253 GEC393251:GED393253 FUG393251:FUH393253 FKK393251:FKL393253 FAO393251:FAP393253 EQS393251:EQT393253 EGW393251:EGX393253 DXA393251:DXB393253 DNE393251:DNF393253 DDI393251:DDJ393253 CTM393251:CTN393253 CJQ393251:CJR393253 BZU393251:BZV393253 BPY393251:BPZ393253 BGC393251:BGD393253 AWG393251:AWH393253 AMK393251:AML393253 ACO393251:ACP393253 SS393251:ST393253 IW393251:IX393253 E393251:E393253 WVI327715:WVJ327717 WLM327715:WLN327717 WBQ327715:WBR327717 VRU327715:VRV327717 VHY327715:VHZ327717 UYC327715:UYD327717 UOG327715:UOH327717 UEK327715:UEL327717 TUO327715:TUP327717 TKS327715:TKT327717 TAW327715:TAX327717 SRA327715:SRB327717 SHE327715:SHF327717 RXI327715:RXJ327717 RNM327715:RNN327717 RDQ327715:RDR327717 QTU327715:QTV327717 QJY327715:QJZ327717 QAC327715:QAD327717 PQG327715:PQH327717 PGK327715:PGL327717 OWO327715:OWP327717 OMS327715:OMT327717 OCW327715:OCX327717 NTA327715:NTB327717 NJE327715:NJF327717 MZI327715:MZJ327717 MPM327715:MPN327717 MFQ327715:MFR327717 LVU327715:LVV327717 LLY327715:LLZ327717 LCC327715:LCD327717 KSG327715:KSH327717 KIK327715:KIL327717 JYO327715:JYP327717 JOS327715:JOT327717 JEW327715:JEX327717 IVA327715:IVB327717 ILE327715:ILF327717 IBI327715:IBJ327717 HRM327715:HRN327717 HHQ327715:HHR327717 GXU327715:GXV327717 GNY327715:GNZ327717 GEC327715:GED327717 FUG327715:FUH327717 FKK327715:FKL327717 FAO327715:FAP327717 EQS327715:EQT327717 EGW327715:EGX327717 DXA327715:DXB327717 DNE327715:DNF327717 DDI327715:DDJ327717 CTM327715:CTN327717 CJQ327715:CJR327717 BZU327715:BZV327717 BPY327715:BPZ327717 BGC327715:BGD327717 AWG327715:AWH327717 AMK327715:AML327717 ACO327715:ACP327717 SS327715:ST327717 IW327715:IX327717 E327715:E327717 WVI262179:WVJ262181 WLM262179:WLN262181 WBQ262179:WBR262181 VRU262179:VRV262181 VHY262179:VHZ262181 UYC262179:UYD262181 UOG262179:UOH262181 UEK262179:UEL262181 TUO262179:TUP262181 TKS262179:TKT262181 TAW262179:TAX262181 SRA262179:SRB262181 SHE262179:SHF262181 RXI262179:RXJ262181 RNM262179:RNN262181 RDQ262179:RDR262181 QTU262179:QTV262181 QJY262179:QJZ262181 QAC262179:QAD262181 PQG262179:PQH262181 PGK262179:PGL262181 OWO262179:OWP262181 OMS262179:OMT262181 OCW262179:OCX262181 NTA262179:NTB262181 NJE262179:NJF262181 MZI262179:MZJ262181 MPM262179:MPN262181 MFQ262179:MFR262181 LVU262179:LVV262181 LLY262179:LLZ262181 LCC262179:LCD262181 KSG262179:KSH262181 KIK262179:KIL262181 JYO262179:JYP262181 JOS262179:JOT262181 JEW262179:JEX262181 IVA262179:IVB262181 ILE262179:ILF262181 IBI262179:IBJ262181 HRM262179:HRN262181 HHQ262179:HHR262181 GXU262179:GXV262181 GNY262179:GNZ262181 GEC262179:GED262181 FUG262179:FUH262181 FKK262179:FKL262181 FAO262179:FAP262181 EQS262179:EQT262181 EGW262179:EGX262181 DXA262179:DXB262181 DNE262179:DNF262181 DDI262179:DDJ262181 CTM262179:CTN262181 CJQ262179:CJR262181 BZU262179:BZV262181 BPY262179:BPZ262181 BGC262179:BGD262181 AWG262179:AWH262181 AMK262179:AML262181 ACO262179:ACP262181 SS262179:ST262181 IW262179:IX262181 E262179:E262181 WVI196643:WVJ196645 WLM196643:WLN196645 WBQ196643:WBR196645 VRU196643:VRV196645 VHY196643:VHZ196645 UYC196643:UYD196645 UOG196643:UOH196645 UEK196643:UEL196645 TUO196643:TUP196645 TKS196643:TKT196645 TAW196643:TAX196645 SRA196643:SRB196645 SHE196643:SHF196645 RXI196643:RXJ196645 RNM196643:RNN196645 RDQ196643:RDR196645 QTU196643:QTV196645 QJY196643:QJZ196645 QAC196643:QAD196645 PQG196643:PQH196645 PGK196643:PGL196645 OWO196643:OWP196645 OMS196643:OMT196645 OCW196643:OCX196645 NTA196643:NTB196645 NJE196643:NJF196645 MZI196643:MZJ196645 MPM196643:MPN196645 MFQ196643:MFR196645 LVU196643:LVV196645 LLY196643:LLZ196645 LCC196643:LCD196645 KSG196643:KSH196645 KIK196643:KIL196645 JYO196643:JYP196645 JOS196643:JOT196645 JEW196643:JEX196645 IVA196643:IVB196645 ILE196643:ILF196645 IBI196643:IBJ196645 HRM196643:HRN196645 HHQ196643:HHR196645 GXU196643:GXV196645 GNY196643:GNZ196645 GEC196643:GED196645 FUG196643:FUH196645 FKK196643:FKL196645 FAO196643:FAP196645 EQS196643:EQT196645 EGW196643:EGX196645 DXA196643:DXB196645 DNE196643:DNF196645 DDI196643:DDJ196645 CTM196643:CTN196645 CJQ196643:CJR196645 BZU196643:BZV196645 BPY196643:BPZ196645 BGC196643:BGD196645 AWG196643:AWH196645 AMK196643:AML196645 ACO196643:ACP196645 SS196643:ST196645 IW196643:IX196645 E196643:E196645 WVI131107:WVJ131109 WLM131107:WLN131109 WBQ131107:WBR131109 VRU131107:VRV131109 VHY131107:VHZ131109 UYC131107:UYD131109 UOG131107:UOH131109 UEK131107:UEL131109 TUO131107:TUP131109 TKS131107:TKT131109 TAW131107:TAX131109 SRA131107:SRB131109 SHE131107:SHF131109 RXI131107:RXJ131109 RNM131107:RNN131109 RDQ131107:RDR131109 QTU131107:QTV131109 QJY131107:QJZ131109 QAC131107:QAD131109 PQG131107:PQH131109 PGK131107:PGL131109 OWO131107:OWP131109 OMS131107:OMT131109 OCW131107:OCX131109 NTA131107:NTB131109 NJE131107:NJF131109 MZI131107:MZJ131109 MPM131107:MPN131109 MFQ131107:MFR131109 LVU131107:LVV131109 LLY131107:LLZ131109 LCC131107:LCD131109 KSG131107:KSH131109 KIK131107:KIL131109 JYO131107:JYP131109 JOS131107:JOT131109 JEW131107:JEX131109 IVA131107:IVB131109 ILE131107:ILF131109 IBI131107:IBJ131109 HRM131107:HRN131109 HHQ131107:HHR131109 GXU131107:GXV131109 GNY131107:GNZ131109 GEC131107:GED131109 FUG131107:FUH131109 FKK131107:FKL131109 FAO131107:FAP131109 EQS131107:EQT131109 EGW131107:EGX131109 DXA131107:DXB131109 DNE131107:DNF131109 DDI131107:DDJ131109 CTM131107:CTN131109 CJQ131107:CJR131109 BZU131107:BZV131109 BPY131107:BPZ131109 BGC131107:BGD131109 AWG131107:AWH131109 AMK131107:AML131109 ACO131107:ACP131109 SS131107:ST131109 IW131107:IX131109 E131107:E131109 WVI65571:WVJ65573 WLM65571:WLN65573 WBQ65571:WBR65573 VRU65571:VRV65573 VHY65571:VHZ65573 UYC65571:UYD65573 UOG65571:UOH65573 UEK65571:UEL65573 TUO65571:TUP65573 TKS65571:TKT65573 TAW65571:TAX65573 SRA65571:SRB65573 SHE65571:SHF65573 RXI65571:RXJ65573 RNM65571:RNN65573 RDQ65571:RDR65573 QTU65571:QTV65573 QJY65571:QJZ65573 QAC65571:QAD65573 PQG65571:PQH65573 PGK65571:PGL65573 OWO65571:OWP65573 OMS65571:OMT65573 OCW65571:OCX65573 NTA65571:NTB65573 NJE65571:NJF65573 MZI65571:MZJ65573 MPM65571:MPN65573 MFQ65571:MFR65573 LVU65571:LVV65573 LLY65571:LLZ65573 LCC65571:LCD65573 KSG65571:KSH65573 KIK65571:KIL65573 JYO65571:JYP65573 JOS65571:JOT65573 JEW65571:JEX65573 IVA65571:IVB65573 ILE65571:ILF65573 IBI65571:IBJ65573 HRM65571:HRN65573 HHQ65571:HHR65573 GXU65571:GXV65573 GNY65571:GNZ65573 GEC65571:GED65573 FUG65571:FUH65573 FKK65571:FKL65573 FAO65571:FAP65573 EQS65571:EQT65573 EGW65571:EGX65573 DXA65571:DXB65573 DNE65571:DNF65573 DDI65571:DDJ65573 CTM65571:CTN65573 CJQ65571:CJR65573 BZU65571:BZV65573 BPY65571:BPZ65573 BGC65571:BGD65573 AWG65571:AWH65573 AMK65571:AML65573 ACO65571:ACP65573 SS65571:ST65573 IW65571:IX65573 E65571:E65573 IW9:JJ11 WVI983073:WVJ983073 WLM983073:WLN983073 WBQ983073:WBR983073 VRU983073:VRV983073 VHY983073:VHZ983073 UYC983073:UYD983073 UOG983073:UOH983073 UEK983073:UEL983073 TUO983073:TUP983073 TKS983073:TKT983073 TAW983073:TAX983073 SRA983073:SRB983073 SHE983073:SHF983073 RXI983073:RXJ983073 RNM983073:RNN983073 RDQ983073:RDR983073 QTU983073:QTV983073 QJY983073:QJZ983073 QAC983073:QAD983073 PQG983073:PQH983073 PGK983073:PGL983073 OWO983073:OWP983073 OMS983073:OMT983073 OCW983073:OCX983073 NTA983073:NTB983073 NJE983073:NJF983073 MZI983073:MZJ983073 MPM983073:MPN983073 MFQ983073:MFR983073 LVU983073:LVV983073 LLY983073:LLZ983073 LCC983073:LCD983073 KSG983073:KSH983073 KIK983073:KIL983073 JYO983073:JYP983073 JOS983073:JOT983073 JEW983073:JEX983073 IVA983073:IVB983073 ILE983073:ILF983073 IBI983073:IBJ983073 HRM983073:HRN983073 HHQ983073:HHR983073 GXU983073:GXV983073 GNY983073:GNZ983073 GEC983073:GED983073 FUG983073:FUH983073 FKK983073:FKL983073 FAO983073:FAP983073 EQS983073:EQT983073 EGW983073:EGX983073 DXA983073:DXB983073 DNE983073:DNF983073 DDI983073:DDJ983073 CTM983073:CTN983073 CJQ983073:CJR983073 BZU983073:BZV983073 BPY983073:BPZ983073 BGC983073:BGD983073 AWG983073:AWH983073 AMK983073:AML983073 ACO983073:ACP983073 SS983073:ST983073 IW983073:IX983073 E983073 WVI917537:WVJ917537 WLM917537:WLN917537 WBQ917537:WBR917537 VRU917537:VRV917537 VHY917537:VHZ917537 UYC917537:UYD917537 UOG917537:UOH917537 UEK917537:UEL917537 TUO917537:TUP917537 TKS917537:TKT917537 TAW917537:TAX917537 SRA917537:SRB917537 SHE917537:SHF917537 RXI917537:RXJ917537 RNM917537:RNN917537 RDQ917537:RDR917537 QTU917537:QTV917537 QJY917537:QJZ917537 QAC917537:QAD917537 PQG917537:PQH917537 PGK917537:PGL917537 OWO917537:OWP917537 OMS917537:OMT917537 OCW917537:OCX917537 NTA917537:NTB917537 NJE917537:NJF917537 MZI917537:MZJ917537 MPM917537:MPN917537 MFQ917537:MFR917537 LVU917537:LVV917537 LLY917537:LLZ917537 LCC917537:LCD917537 KSG917537:KSH917537 KIK917537:KIL917537 JYO917537:JYP917537 JOS917537:JOT917537 JEW917537:JEX917537 IVA917537:IVB917537 ILE917537:ILF917537 IBI917537:IBJ917537 HRM917537:HRN917537 HHQ917537:HHR917537 GXU917537:GXV917537 GNY917537:GNZ917537 GEC917537:GED917537 FUG917537:FUH917537 FKK917537:FKL917537 FAO917537:FAP917537 EQS917537:EQT917537 EGW917537:EGX917537 DXA917537:DXB917537 DNE917537:DNF917537 DDI917537:DDJ917537 CTM917537:CTN917537 CJQ917537:CJR917537 BZU917537:BZV917537 BPY917537:BPZ917537 BGC917537:BGD917537 AWG917537:AWH917537 AMK917537:AML917537 ACO917537:ACP917537 SS917537:ST917537 IW917537:IX917537 E917537 WVI852001:WVJ852001 WLM852001:WLN852001 WBQ852001:WBR852001 VRU852001:VRV852001 VHY852001:VHZ852001 UYC852001:UYD852001 UOG852001:UOH852001 UEK852001:UEL852001 TUO852001:TUP852001 TKS852001:TKT852001 TAW852001:TAX852001 SRA852001:SRB852001 SHE852001:SHF852001 RXI852001:RXJ852001 RNM852001:RNN852001 RDQ852001:RDR852001 QTU852001:QTV852001 QJY852001:QJZ852001 QAC852001:QAD852001 PQG852001:PQH852001 PGK852001:PGL852001 OWO852001:OWP852001 OMS852001:OMT852001 OCW852001:OCX852001 NTA852001:NTB852001 NJE852001:NJF852001 MZI852001:MZJ852001 MPM852001:MPN852001 MFQ852001:MFR852001 LVU852001:LVV852001 LLY852001:LLZ852001 LCC852001:LCD852001 KSG852001:KSH852001 KIK852001:KIL852001 JYO852001:JYP852001 JOS852001:JOT852001 JEW852001:JEX852001 IVA852001:IVB852001 ILE852001:ILF852001 IBI852001:IBJ852001 HRM852001:HRN852001 HHQ852001:HHR852001 GXU852001:GXV852001 GNY852001:GNZ852001 GEC852001:GED852001 FUG852001:FUH852001 FKK852001:FKL852001 FAO852001:FAP852001 EQS852001:EQT852001 EGW852001:EGX852001 DXA852001:DXB852001 DNE852001:DNF852001 DDI852001:DDJ852001 CTM852001:CTN852001 CJQ852001:CJR852001 BZU852001:BZV852001 BPY852001:BPZ852001 BGC852001:BGD852001 AWG852001:AWH852001 AMK852001:AML852001 ACO852001:ACP852001 SS852001:ST852001 IW852001:IX852001 E852001 WVI786465:WVJ786465 WLM786465:WLN786465 WBQ786465:WBR786465 VRU786465:VRV786465 VHY786465:VHZ786465 UYC786465:UYD786465 UOG786465:UOH786465 UEK786465:UEL786465 TUO786465:TUP786465 TKS786465:TKT786465 TAW786465:TAX786465 SRA786465:SRB786465 SHE786465:SHF786465 RXI786465:RXJ786465 RNM786465:RNN786465 RDQ786465:RDR786465 QTU786465:QTV786465 QJY786465:QJZ786465 QAC786465:QAD786465 PQG786465:PQH786465 PGK786465:PGL786465 OWO786465:OWP786465 OMS786465:OMT786465 OCW786465:OCX786465 NTA786465:NTB786465 NJE786465:NJF786465 MZI786465:MZJ786465 MPM786465:MPN786465 MFQ786465:MFR786465 LVU786465:LVV786465 LLY786465:LLZ786465 LCC786465:LCD786465 KSG786465:KSH786465 KIK786465:KIL786465 JYO786465:JYP786465 JOS786465:JOT786465 JEW786465:JEX786465 IVA786465:IVB786465 ILE786465:ILF786465 IBI786465:IBJ786465 HRM786465:HRN786465 HHQ786465:HHR786465 GXU786465:GXV786465 GNY786465:GNZ786465 GEC786465:GED786465 FUG786465:FUH786465 FKK786465:FKL786465 FAO786465:FAP786465 EQS786465:EQT786465 EGW786465:EGX786465 DXA786465:DXB786465 DNE786465:DNF786465 DDI786465:DDJ786465 CTM786465:CTN786465 CJQ786465:CJR786465 BZU786465:BZV786465 BPY786465:BPZ786465 BGC786465:BGD786465 AWG786465:AWH786465 AMK786465:AML786465 ACO786465:ACP786465 SS786465:ST786465 IW786465:IX786465 E786465 WVI720929:WVJ720929 WLM720929:WLN720929 WBQ720929:WBR720929 VRU720929:VRV720929 VHY720929:VHZ720929 UYC720929:UYD720929 UOG720929:UOH720929 UEK720929:UEL720929 TUO720929:TUP720929 TKS720929:TKT720929 TAW720929:TAX720929 SRA720929:SRB720929 SHE720929:SHF720929 RXI720929:RXJ720929 RNM720929:RNN720929 RDQ720929:RDR720929 QTU720929:QTV720929 QJY720929:QJZ720929 QAC720929:QAD720929 PQG720929:PQH720929 PGK720929:PGL720929 OWO720929:OWP720929 OMS720929:OMT720929 OCW720929:OCX720929 NTA720929:NTB720929 NJE720929:NJF720929 MZI720929:MZJ720929 MPM720929:MPN720929 MFQ720929:MFR720929 LVU720929:LVV720929 LLY720929:LLZ720929 LCC720929:LCD720929 KSG720929:KSH720929 KIK720929:KIL720929 JYO720929:JYP720929 JOS720929:JOT720929 JEW720929:JEX720929 IVA720929:IVB720929 ILE720929:ILF720929 IBI720929:IBJ720929 HRM720929:HRN720929 HHQ720929:HHR720929 GXU720929:GXV720929 GNY720929:GNZ720929 GEC720929:GED720929 FUG720929:FUH720929 FKK720929:FKL720929 FAO720929:FAP720929 EQS720929:EQT720929 EGW720929:EGX720929 DXA720929:DXB720929 DNE720929:DNF720929 DDI720929:DDJ720929 CTM720929:CTN720929 CJQ720929:CJR720929 BZU720929:BZV720929 BPY720929:BPZ720929 BGC720929:BGD720929 AWG720929:AWH720929 AMK720929:AML720929 ACO720929:ACP720929 SS720929:ST720929 IW720929:IX720929 E720929 WVI655393:WVJ655393 WLM655393:WLN655393 WBQ655393:WBR655393 VRU655393:VRV655393 VHY655393:VHZ655393 UYC655393:UYD655393 UOG655393:UOH655393 UEK655393:UEL655393 TUO655393:TUP655393 TKS655393:TKT655393 TAW655393:TAX655393 SRA655393:SRB655393 SHE655393:SHF655393 RXI655393:RXJ655393 RNM655393:RNN655393 RDQ655393:RDR655393 QTU655393:QTV655393 QJY655393:QJZ655393 QAC655393:QAD655393 PQG655393:PQH655393 PGK655393:PGL655393 OWO655393:OWP655393 OMS655393:OMT655393 OCW655393:OCX655393 NTA655393:NTB655393 NJE655393:NJF655393 MZI655393:MZJ655393 MPM655393:MPN655393 MFQ655393:MFR655393 LVU655393:LVV655393 LLY655393:LLZ655393 LCC655393:LCD655393 KSG655393:KSH655393 KIK655393:KIL655393 JYO655393:JYP655393 JOS655393:JOT655393 JEW655393:JEX655393 IVA655393:IVB655393 ILE655393:ILF655393 IBI655393:IBJ655393 HRM655393:HRN655393 HHQ655393:HHR655393 GXU655393:GXV655393 GNY655393:GNZ655393 GEC655393:GED655393 FUG655393:FUH655393 FKK655393:FKL655393 FAO655393:FAP655393 EQS655393:EQT655393 EGW655393:EGX655393 DXA655393:DXB655393 DNE655393:DNF655393 DDI655393:DDJ655393 CTM655393:CTN655393 CJQ655393:CJR655393 BZU655393:BZV655393 BPY655393:BPZ655393 BGC655393:BGD655393 AWG655393:AWH655393 AMK655393:AML655393 ACO655393:ACP655393 SS655393:ST655393 IW655393:IX655393 E655393 WVI589857:WVJ589857 WLM589857:WLN589857 WBQ589857:WBR589857 VRU589857:VRV589857 VHY589857:VHZ589857 UYC589857:UYD589857 UOG589857:UOH589857 UEK589857:UEL589857 TUO589857:TUP589857 TKS589857:TKT589857 TAW589857:TAX589857 SRA589857:SRB589857 SHE589857:SHF589857 RXI589857:RXJ589857 RNM589857:RNN589857 RDQ589857:RDR589857 QTU589857:QTV589857 QJY589857:QJZ589857 QAC589857:QAD589857 PQG589857:PQH589857 PGK589857:PGL589857 OWO589857:OWP589857 OMS589857:OMT589857 OCW589857:OCX589857 NTA589857:NTB589857 NJE589857:NJF589857 MZI589857:MZJ589857 MPM589857:MPN589857 MFQ589857:MFR589857 LVU589857:LVV589857 LLY589857:LLZ589857 LCC589857:LCD589857 KSG589857:KSH589857 KIK589857:KIL589857 JYO589857:JYP589857 JOS589857:JOT589857 JEW589857:JEX589857 IVA589857:IVB589857 ILE589857:ILF589857 IBI589857:IBJ589857 HRM589857:HRN589857 HHQ589857:HHR589857 GXU589857:GXV589857 GNY589857:GNZ589857 GEC589857:GED589857 FUG589857:FUH589857 FKK589857:FKL589857 FAO589857:FAP589857 EQS589857:EQT589857 EGW589857:EGX589857 DXA589857:DXB589857 DNE589857:DNF589857 DDI589857:DDJ589857 CTM589857:CTN589857 CJQ589857:CJR589857 BZU589857:BZV589857 BPY589857:BPZ589857 BGC589857:BGD589857 AWG589857:AWH589857 AMK589857:AML589857 ACO589857:ACP589857 SS589857:ST589857 IW589857:IX589857 E589857 WVI524321:WVJ524321 WLM524321:WLN524321 WBQ524321:WBR524321 VRU524321:VRV524321 VHY524321:VHZ524321 UYC524321:UYD524321 UOG524321:UOH524321 UEK524321:UEL524321 TUO524321:TUP524321 TKS524321:TKT524321 TAW524321:TAX524321 SRA524321:SRB524321 SHE524321:SHF524321 RXI524321:RXJ524321 RNM524321:RNN524321 RDQ524321:RDR524321 QTU524321:QTV524321 QJY524321:QJZ524321 QAC524321:QAD524321 PQG524321:PQH524321 PGK524321:PGL524321 OWO524321:OWP524321 OMS524321:OMT524321 OCW524321:OCX524321 NTA524321:NTB524321 NJE524321:NJF524321 MZI524321:MZJ524321 MPM524321:MPN524321 MFQ524321:MFR524321 LVU524321:LVV524321 LLY524321:LLZ524321 LCC524321:LCD524321 KSG524321:KSH524321 KIK524321:KIL524321 JYO524321:JYP524321 JOS524321:JOT524321 JEW524321:JEX524321 IVA524321:IVB524321 ILE524321:ILF524321 IBI524321:IBJ524321 HRM524321:HRN524321 HHQ524321:HHR524321 GXU524321:GXV524321 GNY524321:GNZ524321 GEC524321:GED524321 FUG524321:FUH524321 FKK524321:FKL524321 FAO524321:FAP524321 EQS524321:EQT524321 EGW524321:EGX524321 DXA524321:DXB524321 DNE524321:DNF524321 DDI524321:DDJ524321 CTM524321:CTN524321 CJQ524321:CJR524321 BZU524321:BZV524321 BPY524321:BPZ524321 BGC524321:BGD524321 AWG524321:AWH524321 AMK524321:AML524321 ACO524321:ACP524321 SS524321:ST524321 IW524321:IX524321 E524321 WVI458785:WVJ458785 WLM458785:WLN458785 WBQ458785:WBR458785 VRU458785:VRV458785 VHY458785:VHZ458785 UYC458785:UYD458785 UOG458785:UOH458785 UEK458785:UEL458785 TUO458785:TUP458785 TKS458785:TKT458785 TAW458785:TAX458785 SRA458785:SRB458785 SHE458785:SHF458785 RXI458785:RXJ458785 RNM458785:RNN458785 RDQ458785:RDR458785 QTU458785:QTV458785 QJY458785:QJZ458785 QAC458785:QAD458785 PQG458785:PQH458785 PGK458785:PGL458785 OWO458785:OWP458785 OMS458785:OMT458785 OCW458785:OCX458785 NTA458785:NTB458785 NJE458785:NJF458785 MZI458785:MZJ458785 MPM458785:MPN458785 MFQ458785:MFR458785 LVU458785:LVV458785 LLY458785:LLZ458785 LCC458785:LCD458785 KSG458785:KSH458785 KIK458785:KIL458785 JYO458785:JYP458785 JOS458785:JOT458785 JEW458785:JEX458785 IVA458785:IVB458785 ILE458785:ILF458785 IBI458785:IBJ458785 HRM458785:HRN458785 HHQ458785:HHR458785 GXU458785:GXV458785 GNY458785:GNZ458785 GEC458785:GED458785 FUG458785:FUH458785 FKK458785:FKL458785 FAO458785:FAP458785 EQS458785:EQT458785 EGW458785:EGX458785 DXA458785:DXB458785 DNE458785:DNF458785 DDI458785:DDJ458785 CTM458785:CTN458785 CJQ458785:CJR458785 BZU458785:BZV458785 BPY458785:BPZ458785 BGC458785:BGD458785 AWG458785:AWH458785 AMK458785:AML458785 ACO458785:ACP458785 SS458785:ST458785 IW458785:IX458785 E458785 WVI393249:WVJ393249 WLM393249:WLN393249 WBQ393249:WBR393249 VRU393249:VRV393249 VHY393249:VHZ393249 UYC393249:UYD393249 UOG393249:UOH393249 UEK393249:UEL393249 TUO393249:TUP393249 TKS393249:TKT393249 TAW393249:TAX393249 SRA393249:SRB393249 SHE393249:SHF393249 RXI393249:RXJ393249 RNM393249:RNN393249 RDQ393249:RDR393249 QTU393249:QTV393249 QJY393249:QJZ393249 QAC393249:QAD393249 PQG393249:PQH393249 PGK393249:PGL393249 OWO393249:OWP393249 OMS393249:OMT393249 OCW393249:OCX393249 NTA393249:NTB393249 NJE393249:NJF393249 MZI393249:MZJ393249 MPM393249:MPN393249 MFQ393249:MFR393249 LVU393249:LVV393249 LLY393249:LLZ393249 LCC393249:LCD393249 KSG393249:KSH393249 KIK393249:KIL393249 JYO393249:JYP393249 JOS393249:JOT393249 JEW393249:JEX393249 IVA393249:IVB393249 ILE393249:ILF393249 IBI393249:IBJ393249 HRM393249:HRN393249 HHQ393249:HHR393249 GXU393249:GXV393249 GNY393249:GNZ393249 GEC393249:GED393249 FUG393249:FUH393249 FKK393249:FKL393249 FAO393249:FAP393249 EQS393249:EQT393249 EGW393249:EGX393249 DXA393249:DXB393249 DNE393249:DNF393249 DDI393249:DDJ393249 CTM393249:CTN393249 CJQ393249:CJR393249 BZU393249:BZV393249 BPY393249:BPZ393249 BGC393249:BGD393249 AWG393249:AWH393249 AMK393249:AML393249 ACO393249:ACP393249 SS393249:ST393249 IW393249:IX393249 E393249 WVI327713:WVJ327713 WLM327713:WLN327713 WBQ327713:WBR327713 VRU327713:VRV327713 VHY327713:VHZ327713 UYC327713:UYD327713 UOG327713:UOH327713 UEK327713:UEL327713 TUO327713:TUP327713 TKS327713:TKT327713 TAW327713:TAX327713 SRA327713:SRB327713 SHE327713:SHF327713 RXI327713:RXJ327713 RNM327713:RNN327713 RDQ327713:RDR327713 QTU327713:QTV327713 QJY327713:QJZ327713 QAC327713:QAD327713 PQG327713:PQH327713 PGK327713:PGL327713 OWO327713:OWP327713 OMS327713:OMT327713 OCW327713:OCX327713 NTA327713:NTB327713 NJE327713:NJF327713 MZI327713:MZJ327713 MPM327713:MPN327713 MFQ327713:MFR327713 LVU327713:LVV327713 LLY327713:LLZ327713 LCC327713:LCD327713 KSG327713:KSH327713 KIK327713:KIL327713 JYO327713:JYP327713 JOS327713:JOT327713 JEW327713:JEX327713 IVA327713:IVB327713 ILE327713:ILF327713 IBI327713:IBJ327713 HRM327713:HRN327713 HHQ327713:HHR327713 GXU327713:GXV327713 GNY327713:GNZ327713 GEC327713:GED327713 FUG327713:FUH327713 FKK327713:FKL327713 FAO327713:FAP327713 EQS327713:EQT327713 EGW327713:EGX327713 DXA327713:DXB327713 DNE327713:DNF327713 DDI327713:DDJ327713 CTM327713:CTN327713 CJQ327713:CJR327713 BZU327713:BZV327713 BPY327713:BPZ327713 BGC327713:BGD327713 AWG327713:AWH327713 AMK327713:AML327713 ACO327713:ACP327713 SS327713:ST327713 IW327713:IX327713 E327713 WVI262177:WVJ262177 WLM262177:WLN262177 WBQ262177:WBR262177 VRU262177:VRV262177 VHY262177:VHZ262177 UYC262177:UYD262177 UOG262177:UOH262177 UEK262177:UEL262177 TUO262177:TUP262177 TKS262177:TKT262177 TAW262177:TAX262177 SRA262177:SRB262177 SHE262177:SHF262177 RXI262177:RXJ262177 RNM262177:RNN262177 RDQ262177:RDR262177 QTU262177:QTV262177 QJY262177:QJZ262177 QAC262177:QAD262177 PQG262177:PQH262177 PGK262177:PGL262177 OWO262177:OWP262177 OMS262177:OMT262177 OCW262177:OCX262177 NTA262177:NTB262177 NJE262177:NJF262177 MZI262177:MZJ262177 MPM262177:MPN262177 MFQ262177:MFR262177 LVU262177:LVV262177 LLY262177:LLZ262177 LCC262177:LCD262177 KSG262177:KSH262177 KIK262177:KIL262177 JYO262177:JYP262177 JOS262177:JOT262177 JEW262177:JEX262177 IVA262177:IVB262177 ILE262177:ILF262177 IBI262177:IBJ262177 HRM262177:HRN262177 HHQ262177:HHR262177 GXU262177:GXV262177 GNY262177:GNZ262177 GEC262177:GED262177 FUG262177:FUH262177 FKK262177:FKL262177 FAO262177:FAP262177 EQS262177:EQT262177 EGW262177:EGX262177 DXA262177:DXB262177 DNE262177:DNF262177 DDI262177:DDJ262177 CTM262177:CTN262177 CJQ262177:CJR262177 BZU262177:BZV262177 BPY262177:BPZ262177 BGC262177:BGD262177 AWG262177:AWH262177 AMK262177:AML262177 ACO262177:ACP262177 SS262177:ST262177 IW262177:IX262177 E262177 WVI196641:WVJ196641 WLM196641:WLN196641 WBQ196641:WBR196641 VRU196641:VRV196641 VHY196641:VHZ196641 UYC196641:UYD196641 UOG196641:UOH196641 UEK196641:UEL196641 TUO196641:TUP196641 TKS196641:TKT196641 TAW196641:TAX196641 SRA196641:SRB196641 SHE196641:SHF196641 RXI196641:RXJ196641 RNM196641:RNN196641 RDQ196641:RDR196641 QTU196641:QTV196641 QJY196641:QJZ196641 QAC196641:QAD196641 PQG196641:PQH196641 PGK196641:PGL196641 OWO196641:OWP196641 OMS196641:OMT196641 OCW196641:OCX196641 NTA196641:NTB196641 NJE196641:NJF196641 MZI196641:MZJ196641 MPM196641:MPN196641 MFQ196641:MFR196641 LVU196641:LVV196641 LLY196641:LLZ196641 LCC196641:LCD196641 KSG196641:KSH196641 KIK196641:KIL196641 JYO196641:JYP196641 JOS196641:JOT196641 JEW196641:JEX196641 IVA196641:IVB196641 ILE196641:ILF196641 IBI196641:IBJ196641 HRM196641:HRN196641 HHQ196641:HHR196641 GXU196641:GXV196641 GNY196641:GNZ196641 GEC196641:GED196641 FUG196641:FUH196641 FKK196641:FKL196641 FAO196641:FAP196641 EQS196641:EQT196641 EGW196641:EGX196641 DXA196641:DXB196641 DNE196641:DNF196641 DDI196641:DDJ196641 CTM196641:CTN196641 CJQ196641:CJR196641 BZU196641:BZV196641 BPY196641:BPZ196641 BGC196641:BGD196641 AWG196641:AWH196641 AMK196641:AML196641 ACO196641:ACP196641 SS196641:ST196641 IW196641:IX196641 E196641 WVI131105:WVJ131105 WLM131105:WLN131105 WBQ131105:WBR131105 VRU131105:VRV131105 VHY131105:VHZ131105 UYC131105:UYD131105 UOG131105:UOH131105 UEK131105:UEL131105 TUO131105:TUP131105 TKS131105:TKT131105 TAW131105:TAX131105 SRA131105:SRB131105 SHE131105:SHF131105 RXI131105:RXJ131105 RNM131105:RNN131105 RDQ131105:RDR131105 QTU131105:QTV131105 QJY131105:QJZ131105 QAC131105:QAD131105 PQG131105:PQH131105 PGK131105:PGL131105 OWO131105:OWP131105 OMS131105:OMT131105 OCW131105:OCX131105 NTA131105:NTB131105 NJE131105:NJF131105 MZI131105:MZJ131105 MPM131105:MPN131105 MFQ131105:MFR131105 LVU131105:LVV131105 LLY131105:LLZ131105 LCC131105:LCD131105 KSG131105:KSH131105 KIK131105:KIL131105 JYO131105:JYP131105 JOS131105:JOT131105 JEW131105:JEX131105 IVA131105:IVB131105 ILE131105:ILF131105 IBI131105:IBJ131105 HRM131105:HRN131105 HHQ131105:HHR131105 GXU131105:GXV131105 GNY131105:GNZ131105 GEC131105:GED131105 FUG131105:FUH131105 FKK131105:FKL131105 FAO131105:FAP131105 EQS131105:EQT131105 EGW131105:EGX131105 DXA131105:DXB131105 DNE131105:DNF131105 DDI131105:DDJ131105 CTM131105:CTN131105 CJQ131105:CJR131105 BZU131105:BZV131105 BPY131105:BPZ131105 BGC131105:BGD131105 AWG131105:AWH131105 AMK131105:AML131105 ACO131105:ACP131105 SS131105:ST131105 IW131105:IX131105 E131105 WVI65569:WVJ65569 WLM65569:WLN65569 WBQ65569:WBR65569 VRU65569:VRV65569 VHY65569:VHZ65569 UYC65569:UYD65569 UOG65569:UOH65569 UEK65569:UEL65569 TUO65569:TUP65569 TKS65569:TKT65569 TAW65569:TAX65569 SRA65569:SRB65569 SHE65569:SHF65569 RXI65569:RXJ65569 RNM65569:RNN65569 RDQ65569:RDR65569 QTU65569:QTV65569 QJY65569:QJZ65569 QAC65569:QAD65569 PQG65569:PQH65569 PGK65569:PGL65569 OWO65569:OWP65569 OMS65569:OMT65569 OCW65569:OCX65569 NTA65569:NTB65569 NJE65569:NJF65569 MZI65569:MZJ65569 MPM65569:MPN65569 MFQ65569:MFR65569 LVU65569:LVV65569 LLY65569:LLZ65569 LCC65569:LCD65569 KSG65569:KSH65569 KIK65569:KIL65569 JYO65569:JYP65569 JOS65569:JOT65569 JEW65569:JEX65569 IVA65569:IVB65569 ILE65569:ILF65569 IBI65569:IBJ65569 HRM65569:HRN65569 HHQ65569:HHR65569 GXU65569:GXV65569 GNY65569:GNZ65569 GEC65569:GED65569 FUG65569:FUH65569 FKK65569:FKL65569 FAO65569:FAP65569 EQS65569:EQT65569 EGW65569:EGX65569 DXA65569:DXB65569 DNE65569:DNF65569 DDI65569:DDJ65569 CTM65569:CTN65569 CJQ65569:CJR65569 BZU65569:BZV65569 BPY65569:BPZ65569 BGC65569:BGD65569 AWG65569:AWH65569 AMK65569:AML65569 ACO65569:ACP65569 SS65569:ST65569 IW65569:IX65569 E65569 WVK983073:WVV983077 WLO983073:WLZ983077 WBS983073:WCD983077 VRW983073:VSH983077 VIA983073:VIL983077 UYE983073:UYP983077 UOI983073:UOT983077 UEM983073:UEX983077 TUQ983073:TVB983077 TKU983073:TLF983077 TAY983073:TBJ983077 SRC983073:SRN983077 SHG983073:SHR983077 RXK983073:RXV983077 RNO983073:RNZ983077 RDS983073:RED983077 QTW983073:QUH983077 QKA983073:QKL983077 QAE983073:QAP983077 PQI983073:PQT983077 PGM983073:PGX983077 OWQ983073:OXB983077 OMU983073:ONF983077 OCY983073:ODJ983077 NTC983073:NTN983077 NJG983073:NJR983077 MZK983073:MZV983077 MPO983073:MPZ983077 MFS983073:MGD983077 LVW983073:LWH983077 LMA983073:LML983077 LCE983073:LCP983077 KSI983073:KST983077 KIM983073:KIX983077 JYQ983073:JZB983077 JOU983073:JPF983077 JEY983073:JFJ983077 IVC983073:IVN983077 ILG983073:ILR983077 IBK983073:IBV983077 HRO983073:HRZ983077 HHS983073:HID983077 GXW983073:GYH983077 GOA983073:GOL983077 GEE983073:GEP983077 FUI983073:FUT983077 FKM983073:FKX983077 FAQ983073:FBB983077 EQU983073:ERF983077 EGY983073:EHJ983077 DXC983073:DXN983077 DNG983073:DNR983077 DDK983073:DDV983077 CTO983073:CTZ983077 CJS983073:CKD983077 BZW983073:CAH983077 BQA983073:BQL983077 BGE983073:BGP983077 AWI983073:AWT983077 AMM983073:AMX983077 ACQ983073:ADB983077 SU983073:TF983077 IY983073:JJ983077 WVK917537:WVV917541 WLO917537:WLZ917541 WBS917537:WCD917541 VRW917537:VSH917541 VIA917537:VIL917541 UYE917537:UYP917541 UOI917537:UOT917541 UEM917537:UEX917541 TUQ917537:TVB917541 TKU917537:TLF917541 TAY917537:TBJ917541 SRC917537:SRN917541 SHG917537:SHR917541 RXK917537:RXV917541 RNO917537:RNZ917541 RDS917537:RED917541 QTW917537:QUH917541 QKA917537:QKL917541 QAE917537:QAP917541 PQI917537:PQT917541 PGM917537:PGX917541 OWQ917537:OXB917541 OMU917537:ONF917541 OCY917537:ODJ917541 NTC917537:NTN917541 NJG917537:NJR917541 MZK917537:MZV917541 MPO917537:MPZ917541 MFS917537:MGD917541 LVW917537:LWH917541 LMA917537:LML917541 LCE917537:LCP917541 KSI917537:KST917541 KIM917537:KIX917541 JYQ917537:JZB917541 JOU917537:JPF917541 JEY917537:JFJ917541 IVC917537:IVN917541 ILG917537:ILR917541 IBK917537:IBV917541 HRO917537:HRZ917541 HHS917537:HID917541 GXW917537:GYH917541 GOA917537:GOL917541 GEE917537:GEP917541 FUI917537:FUT917541 FKM917537:FKX917541 FAQ917537:FBB917541 EQU917537:ERF917541 EGY917537:EHJ917541 DXC917537:DXN917541 DNG917537:DNR917541 DDK917537:DDV917541 CTO917537:CTZ917541 CJS917537:CKD917541 BZW917537:CAH917541 BQA917537:BQL917541 BGE917537:BGP917541 AWI917537:AWT917541 AMM917537:AMX917541 ACQ917537:ADB917541 SU917537:TF917541 IY917537:JJ917541 WVK852001:WVV852005 WLO852001:WLZ852005 WBS852001:WCD852005 VRW852001:VSH852005 VIA852001:VIL852005 UYE852001:UYP852005 UOI852001:UOT852005 UEM852001:UEX852005 TUQ852001:TVB852005 TKU852001:TLF852005 TAY852001:TBJ852005 SRC852001:SRN852005 SHG852001:SHR852005 RXK852001:RXV852005 RNO852001:RNZ852005 RDS852001:RED852005 QTW852001:QUH852005 QKA852001:QKL852005 QAE852001:QAP852005 PQI852001:PQT852005 PGM852001:PGX852005 OWQ852001:OXB852005 OMU852001:ONF852005 OCY852001:ODJ852005 NTC852001:NTN852005 NJG852001:NJR852005 MZK852001:MZV852005 MPO852001:MPZ852005 MFS852001:MGD852005 LVW852001:LWH852005 LMA852001:LML852005 LCE852001:LCP852005 KSI852001:KST852005 KIM852001:KIX852005 JYQ852001:JZB852005 JOU852001:JPF852005 JEY852001:JFJ852005 IVC852001:IVN852005 ILG852001:ILR852005 IBK852001:IBV852005 HRO852001:HRZ852005 HHS852001:HID852005 GXW852001:GYH852005 GOA852001:GOL852005 GEE852001:GEP852005 FUI852001:FUT852005 FKM852001:FKX852005 FAQ852001:FBB852005 EQU852001:ERF852005 EGY852001:EHJ852005 DXC852001:DXN852005 DNG852001:DNR852005 DDK852001:DDV852005 CTO852001:CTZ852005 CJS852001:CKD852005 BZW852001:CAH852005 BQA852001:BQL852005 BGE852001:BGP852005 AWI852001:AWT852005 AMM852001:AMX852005 ACQ852001:ADB852005 SU852001:TF852005 IY852001:JJ852005 WVK786465:WVV786469 WLO786465:WLZ786469 WBS786465:WCD786469 VRW786465:VSH786469 VIA786465:VIL786469 UYE786465:UYP786469 UOI786465:UOT786469 UEM786465:UEX786469 TUQ786465:TVB786469 TKU786465:TLF786469 TAY786465:TBJ786469 SRC786465:SRN786469 SHG786465:SHR786469 RXK786465:RXV786469 RNO786465:RNZ786469 RDS786465:RED786469 QTW786465:QUH786469 QKA786465:QKL786469 QAE786465:QAP786469 PQI786465:PQT786469 PGM786465:PGX786469 OWQ786465:OXB786469 OMU786465:ONF786469 OCY786465:ODJ786469 NTC786465:NTN786469 NJG786465:NJR786469 MZK786465:MZV786469 MPO786465:MPZ786469 MFS786465:MGD786469 LVW786465:LWH786469 LMA786465:LML786469 LCE786465:LCP786469 KSI786465:KST786469 KIM786465:KIX786469 JYQ786465:JZB786469 JOU786465:JPF786469 JEY786465:JFJ786469 IVC786465:IVN786469 ILG786465:ILR786469 IBK786465:IBV786469 HRO786465:HRZ786469 HHS786465:HID786469 GXW786465:GYH786469 GOA786465:GOL786469 GEE786465:GEP786469 FUI786465:FUT786469 FKM786465:FKX786469 FAQ786465:FBB786469 EQU786465:ERF786469 EGY786465:EHJ786469 DXC786465:DXN786469 DNG786465:DNR786469 DDK786465:DDV786469 CTO786465:CTZ786469 CJS786465:CKD786469 BZW786465:CAH786469 BQA786465:BQL786469 BGE786465:BGP786469 AWI786465:AWT786469 AMM786465:AMX786469 ACQ786465:ADB786469 SU786465:TF786469 IY786465:JJ786469 WVK720929:WVV720933 WLO720929:WLZ720933 WBS720929:WCD720933 VRW720929:VSH720933 VIA720929:VIL720933 UYE720929:UYP720933 UOI720929:UOT720933 UEM720929:UEX720933 TUQ720929:TVB720933 TKU720929:TLF720933 TAY720929:TBJ720933 SRC720929:SRN720933 SHG720929:SHR720933 RXK720929:RXV720933 RNO720929:RNZ720933 RDS720929:RED720933 QTW720929:QUH720933 QKA720929:QKL720933 QAE720929:QAP720933 PQI720929:PQT720933 PGM720929:PGX720933 OWQ720929:OXB720933 OMU720929:ONF720933 OCY720929:ODJ720933 NTC720929:NTN720933 NJG720929:NJR720933 MZK720929:MZV720933 MPO720929:MPZ720933 MFS720929:MGD720933 LVW720929:LWH720933 LMA720929:LML720933 LCE720929:LCP720933 KSI720929:KST720933 KIM720929:KIX720933 JYQ720929:JZB720933 JOU720929:JPF720933 JEY720929:JFJ720933 IVC720929:IVN720933 ILG720929:ILR720933 IBK720929:IBV720933 HRO720929:HRZ720933 HHS720929:HID720933 GXW720929:GYH720933 GOA720929:GOL720933 GEE720929:GEP720933 FUI720929:FUT720933 FKM720929:FKX720933 FAQ720929:FBB720933 EQU720929:ERF720933 EGY720929:EHJ720933 DXC720929:DXN720933 DNG720929:DNR720933 DDK720929:DDV720933 CTO720929:CTZ720933 CJS720929:CKD720933 BZW720929:CAH720933 BQA720929:BQL720933 BGE720929:BGP720933 AWI720929:AWT720933 AMM720929:AMX720933 ACQ720929:ADB720933 SU720929:TF720933 IY720929:JJ720933 WVK655393:WVV655397 WLO655393:WLZ655397 WBS655393:WCD655397 VRW655393:VSH655397 VIA655393:VIL655397 UYE655393:UYP655397 UOI655393:UOT655397 UEM655393:UEX655397 TUQ655393:TVB655397 TKU655393:TLF655397 TAY655393:TBJ655397 SRC655393:SRN655397 SHG655393:SHR655397 RXK655393:RXV655397 RNO655393:RNZ655397 RDS655393:RED655397 QTW655393:QUH655397 QKA655393:QKL655397 QAE655393:QAP655397 PQI655393:PQT655397 PGM655393:PGX655397 OWQ655393:OXB655397 OMU655393:ONF655397 OCY655393:ODJ655397 NTC655393:NTN655397 NJG655393:NJR655397 MZK655393:MZV655397 MPO655393:MPZ655397 MFS655393:MGD655397 LVW655393:LWH655397 LMA655393:LML655397 LCE655393:LCP655397 KSI655393:KST655397 KIM655393:KIX655397 JYQ655393:JZB655397 JOU655393:JPF655397 JEY655393:JFJ655397 IVC655393:IVN655397 ILG655393:ILR655397 IBK655393:IBV655397 HRO655393:HRZ655397 HHS655393:HID655397 GXW655393:GYH655397 GOA655393:GOL655397 GEE655393:GEP655397 FUI655393:FUT655397 FKM655393:FKX655397 FAQ655393:FBB655397 EQU655393:ERF655397 EGY655393:EHJ655397 DXC655393:DXN655397 DNG655393:DNR655397 DDK655393:DDV655397 CTO655393:CTZ655397 CJS655393:CKD655397 BZW655393:CAH655397 BQA655393:BQL655397 BGE655393:BGP655397 AWI655393:AWT655397 AMM655393:AMX655397 ACQ655393:ADB655397 SU655393:TF655397 IY655393:JJ655397 WVK589857:WVV589861 WLO589857:WLZ589861 WBS589857:WCD589861 VRW589857:VSH589861 VIA589857:VIL589861 UYE589857:UYP589861 UOI589857:UOT589861 UEM589857:UEX589861 TUQ589857:TVB589861 TKU589857:TLF589861 TAY589857:TBJ589861 SRC589857:SRN589861 SHG589857:SHR589861 RXK589857:RXV589861 RNO589857:RNZ589861 RDS589857:RED589861 QTW589857:QUH589861 QKA589857:QKL589861 QAE589857:QAP589861 PQI589857:PQT589861 PGM589857:PGX589861 OWQ589857:OXB589861 OMU589857:ONF589861 OCY589857:ODJ589861 NTC589857:NTN589861 NJG589857:NJR589861 MZK589857:MZV589861 MPO589857:MPZ589861 MFS589857:MGD589861 LVW589857:LWH589861 LMA589857:LML589861 LCE589857:LCP589861 KSI589857:KST589861 KIM589857:KIX589861 JYQ589857:JZB589861 JOU589857:JPF589861 JEY589857:JFJ589861 IVC589857:IVN589861 ILG589857:ILR589861 IBK589857:IBV589861 HRO589857:HRZ589861 HHS589857:HID589861 GXW589857:GYH589861 GOA589857:GOL589861 GEE589857:GEP589861 FUI589857:FUT589861 FKM589857:FKX589861 FAQ589857:FBB589861 EQU589857:ERF589861 EGY589857:EHJ589861 DXC589857:DXN589861 DNG589857:DNR589861 DDK589857:DDV589861 CTO589857:CTZ589861 CJS589857:CKD589861 BZW589857:CAH589861 BQA589857:BQL589861 BGE589857:BGP589861 AWI589857:AWT589861 AMM589857:AMX589861 ACQ589857:ADB589861 SU589857:TF589861 IY589857:JJ589861 WVK524321:WVV524325 WLO524321:WLZ524325 WBS524321:WCD524325 VRW524321:VSH524325 VIA524321:VIL524325 UYE524321:UYP524325 UOI524321:UOT524325 UEM524321:UEX524325 TUQ524321:TVB524325 TKU524321:TLF524325 TAY524321:TBJ524325 SRC524321:SRN524325 SHG524321:SHR524325 RXK524321:RXV524325 RNO524321:RNZ524325 RDS524321:RED524325 QTW524321:QUH524325 QKA524321:QKL524325 QAE524321:QAP524325 PQI524321:PQT524325 PGM524321:PGX524325 OWQ524321:OXB524325 OMU524321:ONF524325 OCY524321:ODJ524325 NTC524321:NTN524325 NJG524321:NJR524325 MZK524321:MZV524325 MPO524321:MPZ524325 MFS524321:MGD524325 LVW524321:LWH524325 LMA524321:LML524325 LCE524321:LCP524325 KSI524321:KST524325 KIM524321:KIX524325 JYQ524321:JZB524325 JOU524321:JPF524325 JEY524321:JFJ524325 IVC524321:IVN524325 ILG524321:ILR524325 IBK524321:IBV524325 HRO524321:HRZ524325 HHS524321:HID524325 GXW524321:GYH524325 GOA524321:GOL524325 GEE524321:GEP524325 FUI524321:FUT524325 FKM524321:FKX524325 FAQ524321:FBB524325 EQU524321:ERF524325 EGY524321:EHJ524325 DXC524321:DXN524325 DNG524321:DNR524325 DDK524321:DDV524325 CTO524321:CTZ524325 CJS524321:CKD524325 BZW524321:CAH524325 BQA524321:BQL524325 BGE524321:BGP524325 AWI524321:AWT524325 AMM524321:AMX524325 ACQ524321:ADB524325 SU524321:TF524325 IY524321:JJ524325 WVK458785:WVV458789 WLO458785:WLZ458789 WBS458785:WCD458789 VRW458785:VSH458789 VIA458785:VIL458789 UYE458785:UYP458789 UOI458785:UOT458789 UEM458785:UEX458789 TUQ458785:TVB458789 TKU458785:TLF458789 TAY458785:TBJ458789 SRC458785:SRN458789 SHG458785:SHR458789 RXK458785:RXV458789 RNO458785:RNZ458789 RDS458785:RED458789 QTW458785:QUH458789 QKA458785:QKL458789 QAE458785:QAP458789 PQI458785:PQT458789 PGM458785:PGX458789 OWQ458785:OXB458789 OMU458785:ONF458789 OCY458785:ODJ458789 NTC458785:NTN458789 NJG458785:NJR458789 MZK458785:MZV458789 MPO458785:MPZ458789 MFS458785:MGD458789 LVW458785:LWH458789 LMA458785:LML458789 LCE458785:LCP458789 KSI458785:KST458789 KIM458785:KIX458789 JYQ458785:JZB458789 JOU458785:JPF458789 JEY458785:JFJ458789 IVC458785:IVN458789 ILG458785:ILR458789 IBK458785:IBV458789 HRO458785:HRZ458789 HHS458785:HID458789 GXW458785:GYH458789 GOA458785:GOL458789 GEE458785:GEP458789 FUI458785:FUT458789 FKM458785:FKX458789 FAQ458785:FBB458789 EQU458785:ERF458789 EGY458785:EHJ458789 DXC458785:DXN458789 DNG458785:DNR458789 DDK458785:DDV458789 CTO458785:CTZ458789 CJS458785:CKD458789 BZW458785:CAH458789 BQA458785:BQL458789 BGE458785:BGP458789 AWI458785:AWT458789 AMM458785:AMX458789 ACQ458785:ADB458789 SU458785:TF458789 IY458785:JJ458789 WVK393249:WVV393253 WLO393249:WLZ393253 WBS393249:WCD393253 VRW393249:VSH393253 VIA393249:VIL393253 UYE393249:UYP393253 UOI393249:UOT393253 UEM393249:UEX393253 TUQ393249:TVB393253 TKU393249:TLF393253 TAY393249:TBJ393253 SRC393249:SRN393253 SHG393249:SHR393253 RXK393249:RXV393253 RNO393249:RNZ393253 RDS393249:RED393253 QTW393249:QUH393253 QKA393249:QKL393253 QAE393249:QAP393253 PQI393249:PQT393253 PGM393249:PGX393253 OWQ393249:OXB393253 OMU393249:ONF393253 OCY393249:ODJ393253 NTC393249:NTN393253 NJG393249:NJR393253 MZK393249:MZV393253 MPO393249:MPZ393253 MFS393249:MGD393253 LVW393249:LWH393253 LMA393249:LML393253 LCE393249:LCP393253 KSI393249:KST393253 KIM393249:KIX393253 JYQ393249:JZB393253 JOU393249:JPF393253 JEY393249:JFJ393253 IVC393249:IVN393253 ILG393249:ILR393253 IBK393249:IBV393253 HRO393249:HRZ393253 HHS393249:HID393253 GXW393249:GYH393253 GOA393249:GOL393253 GEE393249:GEP393253 FUI393249:FUT393253 FKM393249:FKX393253 FAQ393249:FBB393253 EQU393249:ERF393253 EGY393249:EHJ393253 DXC393249:DXN393253 DNG393249:DNR393253 DDK393249:DDV393253 CTO393249:CTZ393253 CJS393249:CKD393253 BZW393249:CAH393253 BQA393249:BQL393253 BGE393249:BGP393253 AWI393249:AWT393253 AMM393249:AMX393253 ACQ393249:ADB393253 SU393249:TF393253 IY393249:JJ393253 WVK327713:WVV327717 WLO327713:WLZ327717 WBS327713:WCD327717 VRW327713:VSH327717 VIA327713:VIL327717 UYE327713:UYP327717 UOI327713:UOT327717 UEM327713:UEX327717 TUQ327713:TVB327717 TKU327713:TLF327717 TAY327713:TBJ327717 SRC327713:SRN327717 SHG327713:SHR327717 RXK327713:RXV327717 RNO327713:RNZ327717 RDS327713:RED327717 QTW327713:QUH327717 QKA327713:QKL327717 QAE327713:QAP327717 PQI327713:PQT327717 PGM327713:PGX327717 OWQ327713:OXB327717 OMU327713:ONF327717 OCY327713:ODJ327717 NTC327713:NTN327717 NJG327713:NJR327717 MZK327713:MZV327717 MPO327713:MPZ327717 MFS327713:MGD327717 LVW327713:LWH327717 LMA327713:LML327717 LCE327713:LCP327717 KSI327713:KST327717 KIM327713:KIX327717 JYQ327713:JZB327717 JOU327713:JPF327717 JEY327713:JFJ327717 IVC327713:IVN327717 ILG327713:ILR327717 IBK327713:IBV327717 HRO327713:HRZ327717 HHS327713:HID327717 GXW327713:GYH327717 GOA327713:GOL327717 GEE327713:GEP327717 FUI327713:FUT327717 FKM327713:FKX327717 FAQ327713:FBB327717 EQU327713:ERF327717 EGY327713:EHJ327717 DXC327713:DXN327717 DNG327713:DNR327717 DDK327713:DDV327717 CTO327713:CTZ327717 CJS327713:CKD327717 BZW327713:CAH327717 BQA327713:BQL327717 BGE327713:BGP327717 AWI327713:AWT327717 AMM327713:AMX327717 ACQ327713:ADB327717 SU327713:TF327717 IY327713:JJ327717 WVK262177:WVV262181 WLO262177:WLZ262181 WBS262177:WCD262181 VRW262177:VSH262181 VIA262177:VIL262181 UYE262177:UYP262181 UOI262177:UOT262181 UEM262177:UEX262181 TUQ262177:TVB262181 TKU262177:TLF262181 TAY262177:TBJ262181 SRC262177:SRN262181 SHG262177:SHR262181 RXK262177:RXV262181 RNO262177:RNZ262181 RDS262177:RED262181 QTW262177:QUH262181 QKA262177:QKL262181 QAE262177:QAP262181 PQI262177:PQT262181 PGM262177:PGX262181 OWQ262177:OXB262181 OMU262177:ONF262181 OCY262177:ODJ262181 NTC262177:NTN262181 NJG262177:NJR262181 MZK262177:MZV262181 MPO262177:MPZ262181 MFS262177:MGD262181 LVW262177:LWH262181 LMA262177:LML262181 LCE262177:LCP262181 KSI262177:KST262181 KIM262177:KIX262181 JYQ262177:JZB262181 JOU262177:JPF262181 JEY262177:JFJ262181 IVC262177:IVN262181 ILG262177:ILR262181 IBK262177:IBV262181 HRO262177:HRZ262181 HHS262177:HID262181 GXW262177:GYH262181 GOA262177:GOL262181 GEE262177:GEP262181 FUI262177:FUT262181 FKM262177:FKX262181 FAQ262177:FBB262181 EQU262177:ERF262181 EGY262177:EHJ262181 DXC262177:DXN262181 DNG262177:DNR262181 DDK262177:DDV262181 CTO262177:CTZ262181 CJS262177:CKD262181 BZW262177:CAH262181 BQA262177:BQL262181 BGE262177:BGP262181 AWI262177:AWT262181 AMM262177:AMX262181 ACQ262177:ADB262181 SU262177:TF262181 IY262177:JJ262181 WVK196641:WVV196645 WLO196641:WLZ196645 WBS196641:WCD196645 VRW196641:VSH196645 VIA196641:VIL196645 UYE196641:UYP196645 UOI196641:UOT196645 UEM196641:UEX196645 TUQ196641:TVB196645 TKU196641:TLF196645 TAY196641:TBJ196645 SRC196641:SRN196645 SHG196641:SHR196645 RXK196641:RXV196645 RNO196641:RNZ196645 RDS196641:RED196645 QTW196641:QUH196645 QKA196641:QKL196645 QAE196641:QAP196645 PQI196641:PQT196645 PGM196641:PGX196645 OWQ196641:OXB196645 OMU196641:ONF196645 OCY196641:ODJ196645 NTC196641:NTN196645 NJG196641:NJR196645 MZK196641:MZV196645 MPO196641:MPZ196645 MFS196641:MGD196645 LVW196641:LWH196645 LMA196641:LML196645 LCE196641:LCP196645 KSI196641:KST196645 KIM196641:KIX196645 JYQ196641:JZB196645 JOU196641:JPF196645 JEY196641:JFJ196645 IVC196641:IVN196645 ILG196641:ILR196645 IBK196641:IBV196645 HRO196641:HRZ196645 HHS196641:HID196645 GXW196641:GYH196645 GOA196641:GOL196645 GEE196641:GEP196645 FUI196641:FUT196645 FKM196641:FKX196645 FAQ196641:FBB196645 EQU196641:ERF196645 EGY196641:EHJ196645 DXC196641:DXN196645 DNG196641:DNR196645 DDK196641:DDV196645 CTO196641:CTZ196645 CJS196641:CKD196645 BZW196641:CAH196645 BQA196641:BQL196645 BGE196641:BGP196645 AWI196641:AWT196645 AMM196641:AMX196645 ACQ196641:ADB196645 SU196641:TF196645 IY196641:JJ196645 WVK131105:WVV131109 WLO131105:WLZ131109 WBS131105:WCD131109 VRW131105:VSH131109 VIA131105:VIL131109 UYE131105:UYP131109 UOI131105:UOT131109 UEM131105:UEX131109 TUQ131105:TVB131109 TKU131105:TLF131109 TAY131105:TBJ131109 SRC131105:SRN131109 SHG131105:SHR131109 RXK131105:RXV131109 RNO131105:RNZ131109 RDS131105:RED131109 QTW131105:QUH131109 QKA131105:QKL131109 QAE131105:QAP131109 PQI131105:PQT131109 PGM131105:PGX131109 OWQ131105:OXB131109 OMU131105:ONF131109 OCY131105:ODJ131109 NTC131105:NTN131109 NJG131105:NJR131109 MZK131105:MZV131109 MPO131105:MPZ131109 MFS131105:MGD131109 LVW131105:LWH131109 LMA131105:LML131109 LCE131105:LCP131109 KSI131105:KST131109 KIM131105:KIX131109 JYQ131105:JZB131109 JOU131105:JPF131109 JEY131105:JFJ131109 IVC131105:IVN131109 ILG131105:ILR131109 IBK131105:IBV131109 HRO131105:HRZ131109 HHS131105:HID131109 GXW131105:GYH131109 GOA131105:GOL131109 GEE131105:GEP131109 FUI131105:FUT131109 FKM131105:FKX131109 FAQ131105:FBB131109 EQU131105:ERF131109 EGY131105:EHJ131109 DXC131105:DXN131109 DNG131105:DNR131109 DDK131105:DDV131109 CTO131105:CTZ131109 CJS131105:CKD131109 BZW131105:CAH131109 BQA131105:BQL131109 BGE131105:BGP131109 AWI131105:AWT131109 AMM131105:AMX131109 ACQ131105:ADB131109 SU131105:TF131109 IY131105:JJ131109 WVK65569:WVV65573 WLO65569:WLZ65573 WBS65569:WCD65573 VRW65569:VSH65573 VIA65569:VIL65573 UYE65569:UYP65573 UOI65569:UOT65573 UEM65569:UEX65573 TUQ65569:TVB65573 TKU65569:TLF65573 TAY65569:TBJ65573 SRC65569:SRN65573 SHG65569:SHR65573 RXK65569:RXV65573 RNO65569:RNZ65573 RDS65569:RED65573 QTW65569:QUH65573 QKA65569:QKL65573 QAE65569:QAP65573 PQI65569:PQT65573 PGM65569:PGX65573 OWQ65569:OXB65573 OMU65569:ONF65573 OCY65569:ODJ65573 NTC65569:NTN65573 NJG65569:NJR65573 MZK65569:MZV65573 MPO65569:MPZ65573 MFS65569:MGD65573 LVW65569:LWH65573 LMA65569:LML65573 LCE65569:LCP65573 KSI65569:KST65573 KIM65569:KIX65573 JYQ65569:JZB65573 JOU65569:JPF65573 JEY65569:JFJ65573 IVC65569:IVN65573 ILG65569:ILR65573 IBK65569:IBV65573 HRO65569:HRZ65573 HHS65569:HID65573 GXW65569:GYH65573 GOA65569:GOL65573 GEE65569:GEP65573 FUI65569:FUT65573 FKM65569:FKX65573 FAQ65569:FBB65573 EQU65569:ERF65573 EGY65569:EHJ65573 DXC65569:DXN65573 DNG65569:DNR65573 DDK65569:DDV65573 CTO65569:CTZ65573 CJS65569:CKD65573 BZW65569:CAH65573 BQA65569:BQL65573 BGE65569:BGP65573 AWI65569:AWT65573 AMM65569:AMX65573 ACQ65569:ADB65573 SU65569:TF65573 IY65569:JJ65573 WVI9:WVV11 WLM9:WLZ11 WBQ9:WCD11 VRU9:VSH11 VHY9:VIL11 UYC9:UYP11 UOG9:UOT11 UEK9:UEX11 TUO9:TVB11 TKS9:TLF11 TAW9:TBJ11 SRA9:SRN11 SHE9:SHR11 RXI9:RXV11 RNM9:RNZ11 RDQ9:RED11 QTU9:QUH11 QJY9:QKL11 QAC9:QAP11 PQG9:PQT11 PGK9:PGX11 OWO9:OXB11 OMS9:ONF11 OCW9:ODJ11 NTA9:NTN11 NJE9:NJR11 MZI9:MZV11 MPM9:MPZ11 MFQ9:MGD11 LVU9:LWH11 LLY9:LML11 LCC9:LCP11 KSG9:KST11 KIK9:KIX11 JYO9:JZB11 JOS9:JPF11 JEW9:JFJ11 IVA9:IVN11 ILE9:ILR11 IBI9:IBV11 HRM9:HRZ11 HHQ9:HID11 GXU9:GYH11 GNY9:GOL11 GEC9:GEP11 FUG9:FUT11 FKK9:FKX11 FAO9:FBB11 EQS9:ERF11 EGW9:EHJ11 DXA9:DXN11 DNE9:DNR11 DDI9:DDV11 CTM9:CTZ11 CJQ9:CKD11 BZU9:CAH11 BPY9:BQL11 BGC9:BGP11 AWG9:AWT11 AMK9:AMX11 ACO9:ADB11 SS9:TF11 B50:B52">
      <formula1>$A$655:$A$657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$A$653:$A$654</xm:f>
          </x14:formula1>
          <xm:sqref>IX66061:JJ66061 B24:N24 B534:N534 B436:N436 B418:K418 B277:N277 IX534:JJ534 B122:N122 F65661:N65661 F131197:N131197 F196733:N196733 F262269:N262269 F327805:N327805 F393341:N393341 F458877:N458877 F524413:N524413 F589949:N589949 F655485:N655485 F721021:N721021 F786557:N786557 F852093:N852093 F917629:N917629 F983165:N983165 F65580:N65580 F131116:N131116 F196652:N196652 F262188:N262188 F327724:N327724 F393260:N393260 F458796:N458796 F524332:N524332 F589868:N589868 F655404:N655404 F720940:N720940 F786476:N786476 F852012:N852012 F917548:N917548 F983084:N983084 B19:N19 F65585:N65585 F131121:N131121 F196657:N196657 F262193:N262193 F327729:N327729 F393265:N393265 F458801:N458801 F524337:N524337 F589873:N589873 F655409:N655409 F720945:N720945 F786481:N786481 F852017:N852017 F917553:N917553 F983089:N983089 B331:N331 D65894:N65894 D131430:N131430 D196966:N196966 D262502:N262502 D328038:N328038 D393574:N393574 D459110:N459110 D524646:N524646 D590182:N590182 D655718:N655718 D721254:N721254 D786790:N786790 D852326:N852326 D917862:N917862 D983398:N983398 B359:N359 D65953:K65953 D131489:K131489 D197025:K197025 D262561:K262561 D328097:K328097 D393633:K393633 D459169:K459169 D524705:K524705 D590241:K590241 D655777:K655777 D721313:K721313 D786849:K786849 D852385:K852385 D917921:K917921 D983457:K983457 B65598:N65598 B131134:N131134 B196670:N196670 B262206:N262206 B327742:N327742 B393278:N393278 B458814:N458814 B524350:N524350 B589886:N589886 B655422:N655422 B720958:N720958 B786494:N786494 B852030:N852030 B917566:N917566 B983102:N983102 B37:N37 B65607:N65607 B131143:N131143 B196679:N196679 B262215:N262215 B327751:N327751 B393287:N393287 B458823:N458823 B524359:N524359 B589895:N589895 B655431:N655431 B720967:N720967 B786503:N786503 B852039:N852039 B917575:N917575 B983111:N983111 F983321:N983321 F917785:N917785 F852249:N852249 F786713:N786713 F721177:N721177 F655641:N655641 F590105:N590105 F524569:N524569 F459033:N459033 F393497:N393497 F327961:N327961 F262425:N262425 F196889:N196889 F131353:N131353 F65817:N65817 F983373:N983373 F917837:N917837 F852301:N852301 F786765:N786765 F721229:N721229 F655693:N655693 F590157:N590157 F524621:N524621 F459085:N459085 F393549:N393549 F328013:N328013 F262477:N262477 F196941:N196941 F131405:N131405 F65869:N65869 F983475:N983475 F917939:N917939 F852403:N852403 F786867:N786867 F721331:N721331 F655795:N655795 F590259:N590259 F524723:N524723 F459187:N459187 F393651:N393651 F328115:N328115 F262579:N262579 F197043:N197043 F131507:N131507 F65971:N65971 F983278:N983278 F917742:N917742 F852206:N852206 F786670:N786670 F721134:N721134 F655598:N655598 F590062:N590062 F524526:N524526 F458990:N458990 F393454:N393454 F327918:N327918 F262382:N262382 F196846:N196846 F131310:N131310 F65774:N65774 F234:N234 F983565:N983565 F918029:N918029 F852493:N852493 F786957:N786957 F721421:N721421 F655885:N655885 F590349:N590349 F524813:N524813 F459277:N459277 F393741:N393741 F328205:N328205 F262669:N262669 F197133:N197133 F131597:N131597 F66061:N66061 WVE983111:WVV983111 WLI983111:WLZ983111 WBM983111:WCD983111 VRQ983111:VSH983111 VHU983111:VIL983111 UXY983111:UYP983111 UOC983111:UOT983111 UEG983111:UEX983111 TUK983111:TVB983111 TKO983111:TLF983111 TAS983111:TBJ983111 SQW983111:SRN983111 SHA983111:SHR983111 RXE983111:RXV983111 RNI983111:RNZ983111 RDM983111:RED983111 QTQ983111:QUH983111 QJU983111:QKL983111 PZY983111:QAP983111 PQC983111:PQT983111 PGG983111:PGX983111 OWK983111:OXB983111 OMO983111:ONF983111 OCS983111:ODJ983111 NSW983111:NTN983111 NJA983111:NJR983111 MZE983111:MZV983111 MPI983111:MPZ983111 MFM983111:MGD983111 LVQ983111:LWH983111 LLU983111:LML983111 LBY983111:LCP983111 KSC983111:KST983111 KIG983111:KIX983111 JYK983111:JZB983111 JOO983111:JPF983111 JES983111:JFJ983111 IUW983111:IVN983111 ILA983111:ILR983111 IBE983111:IBV983111 HRI983111:HRZ983111 HHM983111:HID983111 GXQ983111:GYH983111 GNU983111:GOL983111 GDY983111:GEP983111 FUC983111:FUT983111 FKG983111:FKX983111 FAK983111:FBB983111 EQO983111:ERF983111 EGS983111:EHJ983111 DWW983111:DXN983111 DNA983111:DNR983111 DDE983111:DDV983111 CTI983111:CTZ983111 CJM983111:CKD983111 BZQ983111:CAH983111 BPU983111:BQL983111 BFY983111:BGP983111 AWC983111:AWT983111 AMG983111:AMX983111 ACK983111:ADB983111 SO983111:TF983111 IS983111:JJ983111 WVE917575:WVV917575 WLI917575:WLZ917575 WBM917575:WCD917575 VRQ917575:VSH917575 VHU917575:VIL917575 UXY917575:UYP917575 UOC917575:UOT917575 UEG917575:UEX917575 TUK917575:TVB917575 TKO917575:TLF917575 TAS917575:TBJ917575 SQW917575:SRN917575 SHA917575:SHR917575 RXE917575:RXV917575 RNI917575:RNZ917575 RDM917575:RED917575 QTQ917575:QUH917575 QJU917575:QKL917575 PZY917575:QAP917575 PQC917575:PQT917575 PGG917575:PGX917575 OWK917575:OXB917575 OMO917575:ONF917575 OCS917575:ODJ917575 NSW917575:NTN917575 NJA917575:NJR917575 MZE917575:MZV917575 MPI917575:MPZ917575 MFM917575:MGD917575 LVQ917575:LWH917575 LLU917575:LML917575 LBY917575:LCP917575 KSC917575:KST917575 KIG917575:KIX917575 JYK917575:JZB917575 JOO917575:JPF917575 JES917575:JFJ917575 IUW917575:IVN917575 ILA917575:ILR917575 IBE917575:IBV917575 HRI917575:HRZ917575 HHM917575:HID917575 GXQ917575:GYH917575 GNU917575:GOL917575 GDY917575:GEP917575 FUC917575:FUT917575 FKG917575:FKX917575 FAK917575:FBB917575 EQO917575:ERF917575 EGS917575:EHJ917575 DWW917575:DXN917575 DNA917575:DNR917575 DDE917575:DDV917575 CTI917575:CTZ917575 CJM917575:CKD917575 BZQ917575:CAH917575 BPU917575:BQL917575 BFY917575:BGP917575 AWC917575:AWT917575 AMG917575:AMX917575 ACK917575:ADB917575 SO917575:TF917575 IS917575:JJ917575 WVE852039:WVV852039 WLI852039:WLZ852039 WBM852039:WCD852039 VRQ852039:VSH852039 VHU852039:VIL852039 UXY852039:UYP852039 UOC852039:UOT852039 UEG852039:UEX852039 TUK852039:TVB852039 TKO852039:TLF852039 TAS852039:TBJ852039 SQW852039:SRN852039 SHA852039:SHR852039 RXE852039:RXV852039 RNI852039:RNZ852039 RDM852039:RED852039 QTQ852039:QUH852039 QJU852039:QKL852039 PZY852039:QAP852039 PQC852039:PQT852039 PGG852039:PGX852039 OWK852039:OXB852039 OMO852039:ONF852039 OCS852039:ODJ852039 NSW852039:NTN852039 NJA852039:NJR852039 MZE852039:MZV852039 MPI852039:MPZ852039 MFM852039:MGD852039 LVQ852039:LWH852039 LLU852039:LML852039 LBY852039:LCP852039 KSC852039:KST852039 KIG852039:KIX852039 JYK852039:JZB852039 JOO852039:JPF852039 JES852039:JFJ852039 IUW852039:IVN852039 ILA852039:ILR852039 IBE852039:IBV852039 HRI852039:HRZ852039 HHM852039:HID852039 GXQ852039:GYH852039 GNU852039:GOL852039 GDY852039:GEP852039 FUC852039:FUT852039 FKG852039:FKX852039 FAK852039:FBB852039 EQO852039:ERF852039 EGS852039:EHJ852039 DWW852039:DXN852039 DNA852039:DNR852039 DDE852039:DDV852039 CTI852039:CTZ852039 CJM852039:CKD852039 BZQ852039:CAH852039 BPU852039:BQL852039 BFY852039:BGP852039 AWC852039:AWT852039 AMG852039:AMX852039 ACK852039:ADB852039 SO852039:TF852039 IS852039:JJ852039 WVE786503:WVV786503 WLI786503:WLZ786503 WBM786503:WCD786503 VRQ786503:VSH786503 VHU786503:VIL786503 UXY786503:UYP786503 UOC786503:UOT786503 UEG786503:UEX786503 TUK786503:TVB786503 TKO786503:TLF786503 TAS786503:TBJ786503 SQW786503:SRN786503 SHA786503:SHR786503 RXE786503:RXV786503 RNI786503:RNZ786503 RDM786503:RED786503 QTQ786503:QUH786503 QJU786503:QKL786503 PZY786503:QAP786503 PQC786503:PQT786503 PGG786503:PGX786503 OWK786503:OXB786503 OMO786503:ONF786503 OCS786503:ODJ786503 NSW786503:NTN786503 NJA786503:NJR786503 MZE786503:MZV786503 MPI786503:MPZ786503 MFM786503:MGD786503 LVQ786503:LWH786503 LLU786503:LML786503 LBY786503:LCP786503 KSC786503:KST786503 KIG786503:KIX786503 JYK786503:JZB786503 JOO786503:JPF786503 JES786503:JFJ786503 IUW786503:IVN786503 ILA786503:ILR786503 IBE786503:IBV786503 HRI786503:HRZ786503 HHM786503:HID786503 GXQ786503:GYH786503 GNU786503:GOL786503 GDY786503:GEP786503 FUC786503:FUT786503 FKG786503:FKX786503 FAK786503:FBB786503 EQO786503:ERF786503 EGS786503:EHJ786503 DWW786503:DXN786503 DNA786503:DNR786503 DDE786503:DDV786503 CTI786503:CTZ786503 CJM786503:CKD786503 BZQ786503:CAH786503 BPU786503:BQL786503 BFY786503:BGP786503 AWC786503:AWT786503 AMG786503:AMX786503 ACK786503:ADB786503 SO786503:TF786503 IS786503:JJ786503 WVE720967:WVV720967 WLI720967:WLZ720967 WBM720967:WCD720967 VRQ720967:VSH720967 VHU720967:VIL720967 UXY720967:UYP720967 UOC720967:UOT720967 UEG720967:UEX720967 TUK720967:TVB720967 TKO720967:TLF720967 TAS720967:TBJ720967 SQW720967:SRN720967 SHA720967:SHR720967 RXE720967:RXV720967 RNI720967:RNZ720967 RDM720967:RED720967 QTQ720967:QUH720967 QJU720967:QKL720967 PZY720967:QAP720967 PQC720967:PQT720967 PGG720967:PGX720967 OWK720967:OXB720967 OMO720967:ONF720967 OCS720967:ODJ720967 NSW720967:NTN720967 NJA720967:NJR720967 MZE720967:MZV720967 MPI720967:MPZ720967 MFM720967:MGD720967 LVQ720967:LWH720967 LLU720967:LML720967 LBY720967:LCP720967 KSC720967:KST720967 KIG720967:KIX720967 JYK720967:JZB720967 JOO720967:JPF720967 JES720967:JFJ720967 IUW720967:IVN720967 ILA720967:ILR720967 IBE720967:IBV720967 HRI720967:HRZ720967 HHM720967:HID720967 GXQ720967:GYH720967 GNU720967:GOL720967 GDY720967:GEP720967 FUC720967:FUT720967 FKG720967:FKX720967 FAK720967:FBB720967 EQO720967:ERF720967 EGS720967:EHJ720967 DWW720967:DXN720967 DNA720967:DNR720967 DDE720967:DDV720967 CTI720967:CTZ720967 CJM720967:CKD720967 BZQ720967:CAH720967 BPU720967:BQL720967 BFY720967:BGP720967 AWC720967:AWT720967 AMG720967:AMX720967 ACK720967:ADB720967 SO720967:TF720967 IS720967:JJ720967 WVE655431:WVV655431 WLI655431:WLZ655431 WBM655431:WCD655431 VRQ655431:VSH655431 VHU655431:VIL655431 UXY655431:UYP655431 UOC655431:UOT655431 UEG655431:UEX655431 TUK655431:TVB655431 TKO655431:TLF655431 TAS655431:TBJ655431 SQW655431:SRN655431 SHA655431:SHR655431 RXE655431:RXV655431 RNI655431:RNZ655431 RDM655431:RED655431 QTQ655431:QUH655431 QJU655431:QKL655431 PZY655431:QAP655431 PQC655431:PQT655431 PGG655431:PGX655431 OWK655431:OXB655431 OMO655431:ONF655431 OCS655431:ODJ655431 NSW655431:NTN655431 NJA655431:NJR655431 MZE655431:MZV655431 MPI655431:MPZ655431 MFM655431:MGD655431 LVQ655431:LWH655431 LLU655431:LML655431 LBY655431:LCP655431 KSC655431:KST655431 KIG655431:KIX655431 JYK655431:JZB655431 JOO655431:JPF655431 JES655431:JFJ655431 IUW655431:IVN655431 ILA655431:ILR655431 IBE655431:IBV655431 HRI655431:HRZ655431 HHM655431:HID655431 GXQ655431:GYH655431 GNU655431:GOL655431 GDY655431:GEP655431 FUC655431:FUT655431 FKG655431:FKX655431 FAK655431:FBB655431 EQO655431:ERF655431 EGS655431:EHJ655431 DWW655431:DXN655431 DNA655431:DNR655431 DDE655431:DDV655431 CTI655431:CTZ655431 CJM655431:CKD655431 BZQ655431:CAH655431 BPU655431:BQL655431 BFY655431:BGP655431 AWC655431:AWT655431 AMG655431:AMX655431 ACK655431:ADB655431 SO655431:TF655431 IS655431:JJ655431 WVE589895:WVV589895 WLI589895:WLZ589895 WBM589895:WCD589895 VRQ589895:VSH589895 VHU589895:VIL589895 UXY589895:UYP589895 UOC589895:UOT589895 UEG589895:UEX589895 TUK589895:TVB589895 TKO589895:TLF589895 TAS589895:TBJ589895 SQW589895:SRN589895 SHA589895:SHR589895 RXE589895:RXV589895 RNI589895:RNZ589895 RDM589895:RED589895 QTQ589895:QUH589895 QJU589895:QKL589895 PZY589895:QAP589895 PQC589895:PQT589895 PGG589895:PGX589895 OWK589895:OXB589895 OMO589895:ONF589895 OCS589895:ODJ589895 NSW589895:NTN589895 NJA589895:NJR589895 MZE589895:MZV589895 MPI589895:MPZ589895 MFM589895:MGD589895 LVQ589895:LWH589895 LLU589895:LML589895 LBY589895:LCP589895 KSC589895:KST589895 KIG589895:KIX589895 JYK589895:JZB589895 JOO589895:JPF589895 JES589895:JFJ589895 IUW589895:IVN589895 ILA589895:ILR589895 IBE589895:IBV589895 HRI589895:HRZ589895 HHM589895:HID589895 GXQ589895:GYH589895 GNU589895:GOL589895 GDY589895:GEP589895 FUC589895:FUT589895 FKG589895:FKX589895 FAK589895:FBB589895 EQO589895:ERF589895 EGS589895:EHJ589895 DWW589895:DXN589895 DNA589895:DNR589895 DDE589895:DDV589895 CTI589895:CTZ589895 CJM589895:CKD589895 BZQ589895:CAH589895 BPU589895:BQL589895 BFY589895:BGP589895 AWC589895:AWT589895 AMG589895:AMX589895 ACK589895:ADB589895 SO589895:TF589895 IS589895:JJ589895 WVE524359:WVV524359 WLI524359:WLZ524359 WBM524359:WCD524359 VRQ524359:VSH524359 VHU524359:VIL524359 UXY524359:UYP524359 UOC524359:UOT524359 UEG524359:UEX524359 TUK524359:TVB524359 TKO524359:TLF524359 TAS524359:TBJ524359 SQW524359:SRN524359 SHA524359:SHR524359 RXE524359:RXV524359 RNI524359:RNZ524359 RDM524359:RED524359 QTQ524359:QUH524359 QJU524359:QKL524359 PZY524359:QAP524359 PQC524359:PQT524359 PGG524359:PGX524359 OWK524359:OXB524359 OMO524359:ONF524359 OCS524359:ODJ524359 NSW524359:NTN524359 NJA524359:NJR524359 MZE524359:MZV524359 MPI524359:MPZ524359 MFM524359:MGD524359 LVQ524359:LWH524359 LLU524359:LML524359 LBY524359:LCP524359 KSC524359:KST524359 KIG524359:KIX524359 JYK524359:JZB524359 JOO524359:JPF524359 JES524359:JFJ524359 IUW524359:IVN524359 ILA524359:ILR524359 IBE524359:IBV524359 HRI524359:HRZ524359 HHM524359:HID524359 GXQ524359:GYH524359 GNU524359:GOL524359 GDY524359:GEP524359 FUC524359:FUT524359 FKG524359:FKX524359 FAK524359:FBB524359 EQO524359:ERF524359 EGS524359:EHJ524359 DWW524359:DXN524359 DNA524359:DNR524359 DDE524359:DDV524359 CTI524359:CTZ524359 CJM524359:CKD524359 BZQ524359:CAH524359 BPU524359:BQL524359 BFY524359:BGP524359 AWC524359:AWT524359 AMG524359:AMX524359 ACK524359:ADB524359 SO524359:TF524359 IS524359:JJ524359 WVE458823:WVV458823 WLI458823:WLZ458823 WBM458823:WCD458823 VRQ458823:VSH458823 VHU458823:VIL458823 UXY458823:UYP458823 UOC458823:UOT458823 UEG458823:UEX458823 TUK458823:TVB458823 TKO458823:TLF458823 TAS458823:TBJ458823 SQW458823:SRN458823 SHA458823:SHR458823 RXE458823:RXV458823 RNI458823:RNZ458823 RDM458823:RED458823 QTQ458823:QUH458823 QJU458823:QKL458823 PZY458823:QAP458823 PQC458823:PQT458823 PGG458823:PGX458823 OWK458823:OXB458823 OMO458823:ONF458823 OCS458823:ODJ458823 NSW458823:NTN458823 NJA458823:NJR458823 MZE458823:MZV458823 MPI458823:MPZ458823 MFM458823:MGD458823 LVQ458823:LWH458823 LLU458823:LML458823 LBY458823:LCP458823 KSC458823:KST458823 KIG458823:KIX458823 JYK458823:JZB458823 JOO458823:JPF458823 JES458823:JFJ458823 IUW458823:IVN458823 ILA458823:ILR458823 IBE458823:IBV458823 HRI458823:HRZ458823 HHM458823:HID458823 GXQ458823:GYH458823 GNU458823:GOL458823 GDY458823:GEP458823 FUC458823:FUT458823 FKG458823:FKX458823 FAK458823:FBB458823 EQO458823:ERF458823 EGS458823:EHJ458823 DWW458823:DXN458823 DNA458823:DNR458823 DDE458823:DDV458823 CTI458823:CTZ458823 CJM458823:CKD458823 BZQ458823:CAH458823 BPU458823:BQL458823 BFY458823:BGP458823 AWC458823:AWT458823 AMG458823:AMX458823 ACK458823:ADB458823 SO458823:TF458823 IS458823:JJ458823 WVE393287:WVV393287 WLI393287:WLZ393287 WBM393287:WCD393287 VRQ393287:VSH393287 VHU393287:VIL393287 UXY393287:UYP393287 UOC393287:UOT393287 UEG393287:UEX393287 TUK393287:TVB393287 TKO393287:TLF393287 TAS393287:TBJ393287 SQW393287:SRN393287 SHA393287:SHR393287 RXE393287:RXV393287 RNI393287:RNZ393287 RDM393287:RED393287 QTQ393287:QUH393287 QJU393287:QKL393287 PZY393287:QAP393287 PQC393287:PQT393287 PGG393287:PGX393287 OWK393287:OXB393287 OMO393287:ONF393287 OCS393287:ODJ393287 NSW393287:NTN393287 NJA393287:NJR393287 MZE393287:MZV393287 MPI393287:MPZ393287 MFM393287:MGD393287 LVQ393287:LWH393287 LLU393287:LML393287 LBY393287:LCP393287 KSC393287:KST393287 KIG393287:KIX393287 JYK393287:JZB393287 JOO393287:JPF393287 JES393287:JFJ393287 IUW393287:IVN393287 ILA393287:ILR393287 IBE393287:IBV393287 HRI393287:HRZ393287 HHM393287:HID393287 GXQ393287:GYH393287 GNU393287:GOL393287 GDY393287:GEP393287 FUC393287:FUT393287 FKG393287:FKX393287 FAK393287:FBB393287 EQO393287:ERF393287 EGS393287:EHJ393287 DWW393287:DXN393287 DNA393287:DNR393287 DDE393287:DDV393287 CTI393287:CTZ393287 CJM393287:CKD393287 BZQ393287:CAH393287 BPU393287:BQL393287 BFY393287:BGP393287 AWC393287:AWT393287 AMG393287:AMX393287 ACK393287:ADB393287 SO393287:TF393287 IS393287:JJ393287 WVE327751:WVV327751 WLI327751:WLZ327751 WBM327751:WCD327751 VRQ327751:VSH327751 VHU327751:VIL327751 UXY327751:UYP327751 UOC327751:UOT327751 UEG327751:UEX327751 TUK327751:TVB327751 TKO327751:TLF327751 TAS327751:TBJ327751 SQW327751:SRN327751 SHA327751:SHR327751 RXE327751:RXV327751 RNI327751:RNZ327751 RDM327751:RED327751 QTQ327751:QUH327751 QJU327751:QKL327751 PZY327751:QAP327751 PQC327751:PQT327751 PGG327751:PGX327751 OWK327751:OXB327751 OMO327751:ONF327751 OCS327751:ODJ327751 NSW327751:NTN327751 NJA327751:NJR327751 MZE327751:MZV327751 MPI327751:MPZ327751 MFM327751:MGD327751 LVQ327751:LWH327751 LLU327751:LML327751 LBY327751:LCP327751 KSC327751:KST327751 KIG327751:KIX327751 JYK327751:JZB327751 JOO327751:JPF327751 JES327751:JFJ327751 IUW327751:IVN327751 ILA327751:ILR327751 IBE327751:IBV327751 HRI327751:HRZ327751 HHM327751:HID327751 GXQ327751:GYH327751 GNU327751:GOL327751 GDY327751:GEP327751 FUC327751:FUT327751 FKG327751:FKX327751 FAK327751:FBB327751 EQO327751:ERF327751 EGS327751:EHJ327751 DWW327751:DXN327751 DNA327751:DNR327751 DDE327751:DDV327751 CTI327751:CTZ327751 CJM327751:CKD327751 BZQ327751:CAH327751 BPU327751:BQL327751 BFY327751:BGP327751 AWC327751:AWT327751 AMG327751:AMX327751 ACK327751:ADB327751 SO327751:TF327751 IS327751:JJ327751 WVE262215:WVV262215 WLI262215:WLZ262215 WBM262215:WCD262215 VRQ262215:VSH262215 VHU262215:VIL262215 UXY262215:UYP262215 UOC262215:UOT262215 UEG262215:UEX262215 TUK262215:TVB262215 TKO262215:TLF262215 TAS262215:TBJ262215 SQW262215:SRN262215 SHA262215:SHR262215 RXE262215:RXV262215 RNI262215:RNZ262215 RDM262215:RED262215 QTQ262215:QUH262215 QJU262215:QKL262215 PZY262215:QAP262215 PQC262215:PQT262215 PGG262215:PGX262215 OWK262215:OXB262215 OMO262215:ONF262215 OCS262215:ODJ262215 NSW262215:NTN262215 NJA262215:NJR262215 MZE262215:MZV262215 MPI262215:MPZ262215 MFM262215:MGD262215 LVQ262215:LWH262215 LLU262215:LML262215 LBY262215:LCP262215 KSC262215:KST262215 KIG262215:KIX262215 JYK262215:JZB262215 JOO262215:JPF262215 JES262215:JFJ262215 IUW262215:IVN262215 ILA262215:ILR262215 IBE262215:IBV262215 HRI262215:HRZ262215 HHM262215:HID262215 GXQ262215:GYH262215 GNU262215:GOL262215 GDY262215:GEP262215 FUC262215:FUT262215 FKG262215:FKX262215 FAK262215:FBB262215 EQO262215:ERF262215 EGS262215:EHJ262215 DWW262215:DXN262215 DNA262215:DNR262215 DDE262215:DDV262215 CTI262215:CTZ262215 CJM262215:CKD262215 BZQ262215:CAH262215 BPU262215:BQL262215 BFY262215:BGP262215 AWC262215:AWT262215 AMG262215:AMX262215 ACK262215:ADB262215 SO262215:TF262215 IS262215:JJ262215 WVE196679:WVV196679 WLI196679:WLZ196679 WBM196679:WCD196679 VRQ196679:VSH196679 VHU196679:VIL196679 UXY196679:UYP196679 UOC196679:UOT196679 UEG196679:UEX196679 TUK196679:TVB196679 TKO196679:TLF196679 TAS196679:TBJ196679 SQW196679:SRN196679 SHA196679:SHR196679 RXE196679:RXV196679 RNI196679:RNZ196679 RDM196679:RED196679 QTQ196679:QUH196679 QJU196679:QKL196679 PZY196679:QAP196679 PQC196679:PQT196679 PGG196679:PGX196679 OWK196679:OXB196679 OMO196679:ONF196679 OCS196679:ODJ196679 NSW196679:NTN196679 NJA196679:NJR196679 MZE196679:MZV196679 MPI196679:MPZ196679 MFM196679:MGD196679 LVQ196679:LWH196679 LLU196679:LML196679 LBY196679:LCP196679 KSC196679:KST196679 KIG196679:KIX196679 JYK196679:JZB196679 JOO196679:JPF196679 JES196679:JFJ196679 IUW196679:IVN196679 ILA196679:ILR196679 IBE196679:IBV196679 HRI196679:HRZ196679 HHM196679:HID196679 GXQ196679:GYH196679 GNU196679:GOL196679 GDY196679:GEP196679 FUC196679:FUT196679 FKG196679:FKX196679 FAK196679:FBB196679 EQO196679:ERF196679 EGS196679:EHJ196679 DWW196679:DXN196679 DNA196679:DNR196679 DDE196679:DDV196679 CTI196679:CTZ196679 CJM196679:CKD196679 BZQ196679:CAH196679 BPU196679:BQL196679 BFY196679:BGP196679 AWC196679:AWT196679 AMG196679:AMX196679 ACK196679:ADB196679 SO196679:TF196679 IS196679:JJ196679 WVE131143:WVV131143 WLI131143:WLZ131143 WBM131143:WCD131143 VRQ131143:VSH131143 VHU131143:VIL131143 UXY131143:UYP131143 UOC131143:UOT131143 UEG131143:UEX131143 TUK131143:TVB131143 TKO131143:TLF131143 TAS131143:TBJ131143 SQW131143:SRN131143 SHA131143:SHR131143 RXE131143:RXV131143 RNI131143:RNZ131143 RDM131143:RED131143 QTQ131143:QUH131143 QJU131143:QKL131143 PZY131143:QAP131143 PQC131143:PQT131143 PGG131143:PGX131143 OWK131143:OXB131143 OMO131143:ONF131143 OCS131143:ODJ131143 NSW131143:NTN131143 NJA131143:NJR131143 MZE131143:MZV131143 MPI131143:MPZ131143 MFM131143:MGD131143 LVQ131143:LWH131143 LLU131143:LML131143 LBY131143:LCP131143 KSC131143:KST131143 KIG131143:KIX131143 JYK131143:JZB131143 JOO131143:JPF131143 JES131143:JFJ131143 IUW131143:IVN131143 ILA131143:ILR131143 IBE131143:IBV131143 HRI131143:HRZ131143 HHM131143:HID131143 GXQ131143:GYH131143 GNU131143:GOL131143 GDY131143:GEP131143 FUC131143:FUT131143 FKG131143:FKX131143 FAK131143:FBB131143 EQO131143:ERF131143 EGS131143:EHJ131143 DWW131143:DXN131143 DNA131143:DNR131143 DDE131143:DDV131143 CTI131143:CTZ131143 CJM131143:CKD131143 BZQ131143:CAH131143 BPU131143:BQL131143 BFY131143:BGP131143 AWC131143:AWT131143 AMG131143:AMX131143 ACK131143:ADB131143 SO131143:TF131143 IS131143:JJ131143 WVE65607:WVV65607 WLI65607:WLZ65607 WBM65607:WCD65607 VRQ65607:VSH65607 VHU65607:VIL65607 UXY65607:UYP65607 UOC65607:UOT65607 UEG65607:UEX65607 TUK65607:TVB65607 TKO65607:TLF65607 TAS65607:TBJ65607 SQW65607:SRN65607 SHA65607:SHR65607 RXE65607:RXV65607 RNI65607:RNZ65607 RDM65607:RED65607 QTQ65607:QUH65607 QJU65607:QKL65607 PZY65607:QAP65607 PQC65607:PQT65607 PGG65607:PGX65607 OWK65607:OXB65607 OMO65607:ONF65607 OCS65607:ODJ65607 NSW65607:NTN65607 NJA65607:NJR65607 MZE65607:MZV65607 MPI65607:MPZ65607 MFM65607:MGD65607 LVQ65607:LWH65607 LLU65607:LML65607 LBY65607:LCP65607 KSC65607:KST65607 KIG65607:KIX65607 JYK65607:JZB65607 JOO65607:JPF65607 JES65607:JFJ65607 IUW65607:IVN65607 ILA65607:ILR65607 IBE65607:IBV65607 HRI65607:HRZ65607 HHM65607:HID65607 GXQ65607:GYH65607 GNU65607:GOL65607 GDY65607:GEP65607 FUC65607:FUT65607 FKG65607:FKX65607 FAK65607:FBB65607 EQO65607:ERF65607 EGS65607:EHJ65607 DWW65607:DXN65607 DNA65607:DNR65607 DDE65607:DDV65607 CTI65607:CTZ65607 CJM65607:CKD65607 BZQ65607:CAH65607 BPU65607:BQL65607 BFY65607:BGP65607 AWC65607:AWT65607 AMG65607:AMX65607 ACK65607:ADB65607 SO65607:TF65607 IS65607:JJ65607 WVE48:WVV52 WLI48:WLZ52 WBM48:WCD52 VRQ48:VSH52 VHU48:VIL52 UXY48:UYP52 UOC48:UOT52 UEG48:UEX52 TUK48:TVB52 TKO48:TLF52 TAS48:TBJ52 SQW48:SRN52 SHA48:SHR52 RXE48:RXV52 RNI48:RNZ52 RDM48:RED52 QTQ48:QUH52 QJU48:QKL52 PZY48:QAP52 PQC48:PQT52 PGG48:PGX52 OWK48:OXB52 OMO48:ONF52 OCS48:ODJ52 NSW48:NTN52 NJA48:NJR52 MZE48:MZV52 MPI48:MPZ52 MFM48:MGD52 LVQ48:LWH52 LLU48:LML52 LBY48:LCP52 KSC48:KST52 KIG48:KIX52 JYK48:JZB52 JOO48:JPF52 JES48:JFJ52 IUW48:IVN52 ILA48:ILR52 IBE48:IBV52 HRI48:HRZ52 HHM48:HID52 GXQ48:GYH52 GNU48:GOL52 GDY48:GEP52 FUC48:FUT52 FKG48:FKX52 FAK48:FBB52 EQO48:ERF52 EGS48:EHJ52 DWW48:DXN52 DNA48:DNR52 DDE48:DDV52 CTI48:CTZ52 CJM48:CKD52 BZQ48:CAH52 BPU48:BQL52 BFY48:BGP52 AWC48:AWT52 AMG48:AMX52 ACK48:ADB52 SO48:TF52 IS48:JJ52 WVE983102:WVV983102 WLI983102:WLZ983102 WBM983102:WCD983102 VRQ983102:VSH983102 VHU983102:VIL983102 UXY983102:UYP983102 UOC983102:UOT983102 UEG983102:UEX983102 TUK983102:TVB983102 TKO983102:TLF983102 TAS983102:TBJ983102 SQW983102:SRN983102 SHA983102:SHR983102 RXE983102:RXV983102 RNI983102:RNZ983102 RDM983102:RED983102 QTQ983102:QUH983102 QJU983102:QKL983102 PZY983102:QAP983102 PQC983102:PQT983102 PGG983102:PGX983102 OWK983102:OXB983102 OMO983102:ONF983102 OCS983102:ODJ983102 NSW983102:NTN983102 NJA983102:NJR983102 MZE983102:MZV983102 MPI983102:MPZ983102 MFM983102:MGD983102 LVQ983102:LWH983102 LLU983102:LML983102 LBY983102:LCP983102 KSC983102:KST983102 KIG983102:KIX983102 JYK983102:JZB983102 JOO983102:JPF983102 JES983102:JFJ983102 IUW983102:IVN983102 ILA983102:ILR983102 IBE983102:IBV983102 HRI983102:HRZ983102 HHM983102:HID983102 GXQ983102:GYH983102 GNU983102:GOL983102 GDY983102:GEP983102 FUC983102:FUT983102 FKG983102:FKX983102 FAK983102:FBB983102 EQO983102:ERF983102 EGS983102:EHJ983102 DWW983102:DXN983102 DNA983102:DNR983102 DDE983102:DDV983102 CTI983102:CTZ983102 CJM983102:CKD983102 BZQ983102:CAH983102 BPU983102:BQL983102 BFY983102:BGP983102 AWC983102:AWT983102 AMG983102:AMX983102 ACK983102:ADB983102 SO983102:TF983102 IS983102:JJ983102 WVE917566:WVV917566 WLI917566:WLZ917566 WBM917566:WCD917566 VRQ917566:VSH917566 VHU917566:VIL917566 UXY917566:UYP917566 UOC917566:UOT917566 UEG917566:UEX917566 TUK917566:TVB917566 TKO917566:TLF917566 TAS917566:TBJ917566 SQW917566:SRN917566 SHA917566:SHR917566 RXE917566:RXV917566 RNI917566:RNZ917566 RDM917566:RED917566 QTQ917566:QUH917566 QJU917566:QKL917566 PZY917566:QAP917566 PQC917566:PQT917566 PGG917566:PGX917566 OWK917566:OXB917566 OMO917566:ONF917566 OCS917566:ODJ917566 NSW917566:NTN917566 NJA917566:NJR917566 MZE917566:MZV917566 MPI917566:MPZ917566 MFM917566:MGD917566 LVQ917566:LWH917566 LLU917566:LML917566 LBY917566:LCP917566 KSC917566:KST917566 KIG917566:KIX917566 JYK917566:JZB917566 JOO917566:JPF917566 JES917566:JFJ917566 IUW917566:IVN917566 ILA917566:ILR917566 IBE917566:IBV917566 HRI917566:HRZ917566 HHM917566:HID917566 GXQ917566:GYH917566 GNU917566:GOL917566 GDY917566:GEP917566 FUC917566:FUT917566 FKG917566:FKX917566 FAK917566:FBB917566 EQO917566:ERF917566 EGS917566:EHJ917566 DWW917566:DXN917566 DNA917566:DNR917566 DDE917566:DDV917566 CTI917566:CTZ917566 CJM917566:CKD917566 BZQ917566:CAH917566 BPU917566:BQL917566 BFY917566:BGP917566 AWC917566:AWT917566 AMG917566:AMX917566 ACK917566:ADB917566 SO917566:TF917566 IS917566:JJ917566 WVE852030:WVV852030 WLI852030:WLZ852030 WBM852030:WCD852030 VRQ852030:VSH852030 VHU852030:VIL852030 UXY852030:UYP852030 UOC852030:UOT852030 UEG852030:UEX852030 TUK852030:TVB852030 TKO852030:TLF852030 TAS852030:TBJ852030 SQW852030:SRN852030 SHA852030:SHR852030 RXE852030:RXV852030 RNI852030:RNZ852030 RDM852030:RED852030 QTQ852030:QUH852030 QJU852030:QKL852030 PZY852030:QAP852030 PQC852030:PQT852030 PGG852030:PGX852030 OWK852030:OXB852030 OMO852030:ONF852030 OCS852030:ODJ852030 NSW852030:NTN852030 NJA852030:NJR852030 MZE852030:MZV852030 MPI852030:MPZ852030 MFM852030:MGD852030 LVQ852030:LWH852030 LLU852030:LML852030 LBY852030:LCP852030 KSC852030:KST852030 KIG852030:KIX852030 JYK852030:JZB852030 JOO852030:JPF852030 JES852030:JFJ852030 IUW852030:IVN852030 ILA852030:ILR852030 IBE852030:IBV852030 HRI852030:HRZ852030 HHM852030:HID852030 GXQ852030:GYH852030 GNU852030:GOL852030 GDY852030:GEP852030 FUC852030:FUT852030 FKG852030:FKX852030 FAK852030:FBB852030 EQO852030:ERF852030 EGS852030:EHJ852030 DWW852030:DXN852030 DNA852030:DNR852030 DDE852030:DDV852030 CTI852030:CTZ852030 CJM852030:CKD852030 BZQ852030:CAH852030 BPU852030:BQL852030 BFY852030:BGP852030 AWC852030:AWT852030 AMG852030:AMX852030 ACK852030:ADB852030 SO852030:TF852030 IS852030:JJ852030 WVE786494:WVV786494 WLI786494:WLZ786494 WBM786494:WCD786494 VRQ786494:VSH786494 VHU786494:VIL786494 UXY786494:UYP786494 UOC786494:UOT786494 UEG786494:UEX786494 TUK786494:TVB786494 TKO786494:TLF786494 TAS786494:TBJ786494 SQW786494:SRN786494 SHA786494:SHR786494 RXE786494:RXV786494 RNI786494:RNZ786494 RDM786494:RED786494 QTQ786494:QUH786494 QJU786494:QKL786494 PZY786494:QAP786494 PQC786494:PQT786494 PGG786494:PGX786494 OWK786494:OXB786494 OMO786494:ONF786494 OCS786494:ODJ786494 NSW786494:NTN786494 NJA786494:NJR786494 MZE786494:MZV786494 MPI786494:MPZ786494 MFM786494:MGD786494 LVQ786494:LWH786494 LLU786494:LML786494 LBY786494:LCP786494 KSC786494:KST786494 KIG786494:KIX786494 JYK786494:JZB786494 JOO786494:JPF786494 JES786494:JFJ786494 IUW786494:IVN786494 ILA786494:ILR786494 IBE786494:IBV786494 HRI786494:HRZ786494 HHM786494:HID786494 GXQ786494:GYH786494 GNU786494:GOL786494 GDY786494:GEP786494 FUC786494:FUT786494 FKG786494:FKX786494 FAK786494:FBB786494 EQO786494:ERF786494 EGS786494:EHJ786494 DWW786494:DXN786494 DNA786494:DNR786494 DDE786494:DDV786494 CTI786494:CTZ786494 CJM786494:CKD786494 BZQ786494:CAH786494 BPU786494:BQL786494 BFY786494:BGP786494 AWC786494:AWT786494 AMG786494:AMX786494 ACK786494:ADB786494 SO786494:TF786494 IS786494:JJ786494 WVE720958:WVV720958 WLI720958:WLZ720958 WBM720958:WCD720958 VRQ720958:VSH720958 VHU720958:VIL720958 UXY720958:UYP720958 UOC720958:UOT720958 UEG720958:UEX720958 TUK720958:TVB720958 TKO720958:TLF720958 TAS720958:TBJ720958 SQW720958:SRN720958 SHA720958:SHR720958 RXE720958:RXV720958 RNI720958:RNZ720958 RDM720958:RED720958 QTQ720958:QUH720958 QJU720958:QKL720958 PZY720958:QAP720958 PQC720958:PQT720958 PGG720958:PGX720958 OWK720958:OXB720958 OMO720958:ONF720958 OCS720958:ODJ720958 NSW720958:NTN720958 NJA720958:NJR720958 MZE720958:MZV720958 MPI720958:MPZ720958 MFM720958:MGD720958 LVQ720958:LWH720958 LLU720958:LML720958 LBY720958:LCP720958 KSC720958:KST720958 KIG720958:KIX720958 JYK720958:JZB720958 JOO720958:JPF720958 JES720958:JFJ720958 IUW720958:IVN720958 ILA720958:ILR720958 IBE720958:IBV720958 HRI720958:HRZ720958 HHM720958:HID720958 GXQ720958:GYH720958 GNU720958:GOL720958 GDY720958:GEP720958 FUC720958:FUT720958 FKG720958:FKX720958 FAK720958:FBB720958 EQO720958:ERF720958 EGS720958:EHJ720958 DWW720958:DXN720958 DNA720958:DNR720958 DDE720958:DDV720958 CTI720958:CTZ720958 CJM720958:CKD720958 BZQ720958:CAH720958 BPU720958:BQL720958 BFY720958:BGP720958 AWC720958:AWT720958 AMG720958:AMX720958 ACK720958:ADB720958 SO720958:TF720958 IS720958:JJ720958 WVE655422:WVV655422 WLI655422:WLZ655422 WBM655422:WCD655422 VRQ655422:VSH655422 VHU655422:VIL655422 UXY655422:UYP655422 UOC655422:UOT655422 UEG655422:UEX655422 TUK655422:TVB655422 TKO655422:TLF655422 TAS655422:TBJ655422 SQW655422:SRN655422 SHA655422:SHR655422 RXE655422:RXV655422 RNI655422:RNZ655422 RDM655422:RED655422 QTQ655422:QUH655422 QJU655422:QKL655422 PZY655422:QAP655422 PQC655422:PQT655422 PGG655422:PGX655422 OWK655422:OXB655422 OMO655422:ONF655422 OCS655422:ODJ655422 NSW655422:NTN655422 NJA655422:NJR655422 MZE655422:MZV655422 MPI655422:MPZ655422 MFM655422:MGD655422 LVQ655422:LWH655422 LLU655422:LML655422 LBY655422:LCP655422 KSC655422:KST655422 KIG655422:KIX655422 JYK655422:JZB655422 JOO655422:JPF655422 JES655422:JFJ655422 IUW655422:IVN655422 ILA655422:ILR655422 IBE655422:IBV655422 HRI655422:HRZ655422 HHM655422:HID655422 GXQ655422:GYH655422 GNU655422:GOL655422 GDY655422:GEP655422 FUC655422:FUT655422 FKG655422:FKX655422 FAK655422:FBB655422 EQO655422:ERF655422 EGS655422:EHJ655422 DWW655422:DXN655422 DNA655422:DNR655422 DDE655422:DDV655422 CTI655422:CTZ655422 CJM655422:CKD655422 BZQ655422:CAH655422 BPU655422:BQL655422 BFY655422:BGP655422 AWC655422:AWT655422 AMG655422:AMX655422 ACK655422:ADB655422 SO655422:TF655422 IS655422:JJ655422 WVE589886:WVV589886 WLI589886:WLZ589886 WBM589886:WCD589886 VRQ589886:VSH589886 VHU589886:VIL589886 UXY589886:UYP589886 UOC589886:UOT589886 UEG589886:UEX589886 TUK589886:TVB589886 TKO589886:TLF589886 TAS589886:TBJ589886 SQW589886:SRN589886 SHA589886:SHR589886 RXE589886:RXV589886 RNI589886:RNZ589886 RDM589886:RED589886 QTQ589886:QUH589886 QJU589886:QKL589886 PZY589886:QAP589886 PQC589886:PQT589886 PGG589886:PGX589886 OWK589886:OXB589886 OMO589886:ONF589886 OCS589886:ODJ589886 NSW589886:NTN589886 NJA589886:NJR589886 MZE589886:MZV589886 MPI589886:MPZ589886 MFM589886:MGD589886 LVQ589886:LWH589886 LLU589886:LML589886 LBY589886:LCP589886 KSC589886:KST589886 KIG589886:KIX589886 JYK589886:JZB589886 JOO589886:JPF589886 JES589886:JFJ589886 IUW589886:IVN589886 ILA589886:ILR589886 IBE589886:IBV589886 HRI589886:HRZ589886 HHM589886:HID589886 GXQ589886:GYH589886 GNU589886:GOL589886 GDY589886:GEP589886 FUC589886:FUT589886 FKG589886:FKX589886 FAK589886:FBB589886 EQO589886:ERF589886 EGS589886:EHJ589886 DWW589886:DXN589886 DNA589886:DNR589886 DDE589886:DDV589886 CTI589886:CTZ589886 CJM589886:CKD589886 BZQ589886:CAH589886 BPU589886:BQL589886 BFY589886:BGP589886 AWC589886:AWT589886 AMG589886:AMX589886 ACK589886:ADB589886 SO589886:TF589886 IS589886:JJ589886 WVE524350:WVV524350 WLI524350:WLZ524350 WBM524350:WCD524350 VRQ524350:VSH524350 VHU524350:VIL524350 UXY524350:UYP524350 UOC524350:UOT524350 UEG524350:UEX524350 TUK524350:TVB524350 TKO524350:TLF524350 TAS524350:TBJ524350 SQW524350:SRN524350 SHA524350:SHR524350 RXE524350:RXV524350 RNI524350:RNZ524350 RDM524350:RED524350 QTQ524350:QUH524350 QJU524350:QKL524350 PZY524350:QAP524350 PQC524350:PQT524350 PGG524350:PGX524350 OWK524350:OXB524350 OMO524350:ONF524350 OCS524350:ODJ524350 NSW524350:NTN524350 NJA524350:NJR524350 MZE524350:MZV524350 MPI524350:MPZ524350 MFM524350:MGD524350 LVQ524350:LWH524350 LLU524350:LML524350 LBY524350:LCP524350 KSC524350:KST524350 KIG524350:KIX524350 JYK524350:JZB524350 JOO524350:JPF524350 JES524350:JFJ524350 IUW524350:IVN524350 ILA524350:ILR524350 IBE524350:IBV524350 HRI524350:HRZ524350 HHM524350:HID524350 GXQ524350:GYH524350 GNU524350:GOL524350 GDY524350:GEP524350 FUC524350:FUT524350 FKG524350:FKX524350 FAK524350:FBB524350 EQO524350:ERF524350 EGS524350:EHJ524350 DWW524350:DXN524350 DNA524350:DNR524350 DDE524350:DDV524350 CTI524350:CTZ524350 CJM524350:CKD524350 BZQ524350:CAH524350 BPU524350:BQL524350 BFY524350:BGP524350 AWC524350:AWT524350 AMG524350:AMX524350 ACK524350:ADB524350 SO524350:TF524350 IS524350:JJ524350 WVE458814:WVV458814 WLI458814:WLZ458814 WBM458814:WCD458814 VRQ458814:VSH458814 VHU458814:VIL458814 UXY458814:UYP458814 UOC458814:UOT458814 UEG458814:UEX458814 TUK458814:TVB458814 TKO458814:TLF458814 TAS458814:TBJ458814 SQW458814:SRN458814 SHA458814:SHR458814 RXE458814:RXV458814 RNI458814:RNZ458814 RDM458814:RED458814 QTQ458814:QUH458814 QJU458814:QKL458814 PZY458814:QAP458814 PQC458814:PQT458814 PGG458814:PGX458814 OWK458814:OXB458814 OMO458814:ONF458814 OCS458814:ODJ458814 NSW458814:NTN458814 NJA458814:NJR458814 MZE458814:MZV458814 MPI458814:MPZ458814 MFM458814:MGD458814 LVQ458814:LWH458814 LLU458814:LML458814 LBY458814:LCP458814 KSC458814:KST458814 KIG458814:KIX458814 JYK458814:JZB458814 JOO458814:JPF458814 JES458814:JFJ458814 IUW458814:IVN458814 ILA458814:ILR458814 IBE458814:IBV458814 HRI458814:HRZ458814 HHM458814:HID458814 GXQ458814:GYH458814 GNU458814:GOL458814 GDY458814:GEP458814 FUC458814:FUT458814 FKG458814:FKX458814 FAK458814:FBB458814 EQO458814:ERF458814 EGS458814:EHJ458814 DWW458814:DXN458814 DNA458814:DNR458814 DDE458814:DDV458814 CTI458814:CTZ458814 CJM458814:CKD458814 BZQ458814:CAH458814 BPU458814:BQL458814 BFY458814:BGP458814 AWC458814:AWT458814 AMG458814:AMX458814 ACK458814:ADB458814 SO458814:TF458814 IS458814:JJ458814 WVE393278:WVV393278 WLI393278:WLZ393278 WBM393278:WCD393278 VRQ393278:VSH393278 VHU393278:VIL393278 UXY393278:UYP393278 UOC393278:UOT393278 UEG393278:UEX393278 TUK393278:TVB393278 TKO393278:TLF393278 TAS393278:TBJ393278 SQW393278:SRN393278 SHA393278:SHR393278 RXE393278:RXV393278 RNI393278:RNZ393278 RDM393278:RED393278 QTQ393278:QUH393278 QJU393278:QKL393278 PZY393278:QAP393278 PQC393278:PQT393278 PGG393278:PGX393278 OWK393278:OXB393278 OMO393278:ONF393278 OCS393278:ODJ393278 NSW393278:NTN393278 NJA393278:NJR393278 MZE393278:MZV393278 MPI393278:MPZ393278 MFM393278:MGD393278 LVQ393278:LWH393278 LLU393278:LML393278 LBY393278:LCP393278 KSC393278:KST393278 KIG393278:KIX393278 JYK393278:JZB393278 JOO393278:JPF393278 JES393278:JFJ393278 IUW393278:IVN393278 ILA393278:ILR393278 IBE393278:IBV393278 HRI393278:HRZ393278 HHM393278:HID393278 GXQ393278:GYH393278 GNU393278:GOL393278 GDY393278:GEP393278 FUC393278:FUT393278 FKG393278:FKX393278 FAK393278:FBB393278 EQO393278:ERF393278 EGS393278:EHJ393278 DWW393278:DXN393278 DNA393278:DNR393278 DDE393278:DDV393278 CTI393278:CTZ393278 CJM393278:CKD393278 BZQ393278:CAH393278 BPU393278:BQL393278 BFY393278:BGP393278 AWC393278:AWT393278 AMG393278:AMX393278 ACK393278:ADB393278 SO393278:TF393278 IS393278:JJ393278 WVE327742:WVV327742 WLI327742:WLZ327742 WBM327742:WCD327742 VRQ327742:VSH327742 VHU327742:VIL327742 UXY327742:UYP327742 UOC327742:UOT327742 UEG327742:UEX327742 TUK327742:TVB327742 TKO327742:TLF327742 TAS327742:TBJ327742 SQW327742:SRN327742 SHA327742:SHR327742 RXE327742:RXV327742 RNI327742:RNZ327742 RDM327742:RED327742 QTQ327742:QUH327742 QJU327742:QKL327742 PZY327742:QAP327742 PQC327742:PQT327742 PGG327742:PGX327742 OWK327742:OXB327742 OMO327742:ONF327742 OCS327742:ODJ327742 NSW327742:NTN327742 NJA327742:NJR327742 MZE327742:MZV327742 MPI327742:MPZ327742 MFM327742:MGD327742 LVQ327742:LWH327742 LLU327742:LML327742 LBY327742:LCP327742 KSC327742:KST327742 KIG327742:KIX327742 JYK327742:JZB327742 JOO327742:JPF327742 JES327742:JFJ327742 IUW327742:IVN327742 ILA327742:ILR327742 IBE327742:IBV327742 HRI327742:HRZ327742 HHM327742:HID327742 GXQ327742:GYH327742 GNU327742:GOL327742 GDY327742:GEP327742 FUC327742:FUT327742 FKG327742:FKX327742 FAK327742:FBB327742 EQO327742:ERF327742 EGS327742:EHJ327742 DWW327742:DXN327742 DNA327742:DNR327742 DDE327742:DDV327742 CTI327742:CTZ327742 CJM327742:CKD327742 BZQ327742:CAH327742 BPU327742:BQL327742 BFY327742:BGP327742 AWC327742:AWT327742 AMG327742:AMX327742 ACK327742:ADB327742 SO327742:TF327742 IS327742:JJ327742 WVE262206:WVV262206 WLI262206:WLZ262206 WBM262206:WCD262206 VRQ262206:VSH262206 VHU262206:VIL262206 UXY262206:UYP262206 UOC262206:UOT262206 UEG262206:UEX262206 TUK262206:TVB262206 TKO262206:TLF262206 TAS262206:TBJ262206 SQW262206:SRN262206 SHA262206:SHR262206 RXE262206:RXV262206 RNI262206:RNZ262206 RDM262206:RED262206 QTQ262206:QUH262206 QJU262206:QKL262206 PZY262206:QAP262206 PQC262206:PQT262206 PGG262206:PGX262206 OWK262206:OXB262206 OMO262206:ONF262206 OCS262206:ODJ262206 NSW262206:NTN262206 NJA262206:NJR262206 MZE262206:MZV262206 MPI262206:MPZ262206 MFM262206:MGD262206 LVQ262206:LWH262206 LLU262206:LML262206 LBY262206:LCP262206 KSC262206:KST262206 KIG262206:KIX262206 JYK262206:JZB262206 JOO262206:JPF262206 JES262206:JFJ262206 IUW262206:IVN262206 ILA262206:ILR262206 IBE262206:IBV262206 HRI262206:HRZ262206 HHM262206:HID262206 GXQ262206:GYH262206 GNU262206:GOL262206 GDY262206:GEP262206 FUC262206:FUT262206 FKG262206:FKX262206 FAK262206:FBB262206 EQO262206:ERF262206 EGS262206:EHJ262206 DWW262206:DXN262206 DNA262206:DNR262206 DDE262206:DDV262206 CTI262206:CTZ262206 CJM262206:CKD262206 BZQ262206:CAH262206 BPU262206:BQL262206 BFY262206:BGP262206 AWC262206:AWT262206 AMG262206:AMX262206 ACK262206:ADB262206 SO262206:TF262206 IS262206:JJ262206 WVE196670:WVV196670 WLI196670:WLZ196670 WBM196670:WCD196670 VRQ196670:VSH196670 VHU196670:VIL196670 UXY196670:UYP196670 UOC196670:UOT196670 UEG196670:UEX196670 TUK196670:TVB196670 TKO196670:TLF196670 TAS196670:TBJ196670 SQW196670:SRN196670 SHA196670:SHR196670 RXE196670:RXV196670 RNI196670:RNZ196670 RDM196670:RED196670 QTQ196670:QUH196670 QJU196670:QKL196670 PZY196670:QAP196670 PQC196670:PQT196670 PGG196670:PGX196670 OWK196670:OXB196670 OMO196670:ONF196670 OCS196670:ODJ196670 NSW196670:NTN196670 NJA196670:NJR196670 MZE196670:MZV196670 MPI196670:MPZ196670 MFM196670:MGD196670 LVQ196670:LWH196670 LLU196670:LML196670 LBY196670:LCP196670 KSC196670:KST196670 KIG196670:KIX196670 JYK196670:JZB196670 JOO196670:JPF196670 JES196670:JFJ196670 IUW196670:IVN196670 ILA196670:ILR196670 IBE196670:IBV196670 HRI196670:HRZ196670 HHM196670:HID196670 GXQ196670:GYH196670 GNU196670:GOL196670 GDY196670:GEP196670 FUC196670:FUT196670 FKG196670:FKX196670 FAK196670:FBB196670 EQO196670:ERF196670 EGS196670:EHJ196670 DWW196670:DXN196670 DNA196670:DNR196670 DDE196670:DDV196670 CTI196670:CTZ196670 CJM196670:CKD196670 BZQ196670:CAH196670 BPU196670:BQL196670 BFY196670:BGP196670 AWC196670:AWT196670 AMG196670:AMX196670 ACK196670:ADB196670 SO196670:TF196670 IS196670:JJ196670 WVE131134:WVV131134 WLI131134:WLZ131134 WBM131134:WCD131134 VRQ131134:VSH131134 VHU131134:VIL131134 UXY131134:UYP131134 UOC131134:UOT131134 UEG131134:UEX131134 TUK131134:TVB131134 TKO131134:TLF131134 TAS131134:TBJ131134 SQW131134:SRN131134 SHA131134:SHR131134 RXE131134:RXV131134 RNI131134:RNZ131134 RDM131134:RED131134 QTQ131134:QUH131134 QJU131134:QKL131134 PZY131134:QAP131134 PQC131134:PQT131134 PGG131134:PGX131134 OWK131134:OXB131134 OMO131134:ONF131134 OCS131134:ODJ131134 NSW131134:NTN131134 NJA131134:NJR131134 MZE131134:MZV131134 MPI131134:MPZ131134 MFM131134:MGD131134 LVQ131134:LWH131134 LLU131134:LML131134 LBY131134:LCP131134 KSC131134:KST131134 KIG131134:KIX131134 JYK131134:JZB131134 JOO131134:JPF131134 JES131134:JFJ131134 IUW131134:IVN131134 ILA131134:ILR131134 IBE131134:IBV131134 HRI131134:HRZ131134 HHM131134:HID131134 GXQ131134:GYH131134 GNU131134:GOL131134 GDY131134:GEP131134 FUC131134:FUT131134 FKG131134:FKX131134 FAK131134:FBB131134 EQO131134:ERF131134 EGS131134:EHJ131134 DWW131134:DXN131134 DNA131134:DNR131134 DDE131134:DDV131134 CTI131134:CTZ131134 CJM131134:CKD131134 BZQ131134:CAH131134 BPU131134:BQL131134 BFY131134:BGP131134 AWC131134:AWT131134 AMG131134:AMX131134 ACK131134:ADB131134 SO131134:TF131134 IS131134:JJ131134 WVE65598:WVV65598 WLI65598:WLZ65598 WBM65598:WCD65598 VRQ65598:VSH65598 VHU65598:VIL65598 UXY65598:UYP65598 UOC65598:UOT65598 UEG65598:UEX65598 TUK65598:TVB65598 TKO65598:TLF65598 TAS65598:TBJ65598 SQW65598:SRN65598 SHA65598:SHR65598 RXE65598:RXV65598 RNI65598:RNZ65598 RDM65598:RED65598 QTQ65598:QUH65598 QJU65598:QKL65598 PZY65598:QAP65598 PQC65598:PQT65598 PGG65598:PGX65598 OWK65598:OXB65598 OMO65598:ONF65598 OCS65598:ODJ65598 NSW65598:NTN65598 NJA65598:NJR65598 MZE65598:MZV65598 MPI65598:MPZ65598 MFM65598:MGD65598 LVQ65598:LWH65598 LLU65598:LML65598 LBY65598:LCP65598 KSC65598:KST65598 KIG65598:KIX65598 JYK65598:JZB65598 JOO65598:JPF65598 JES65598:JFJ65598 IUW65598:IVN65598 ILA65598:ILR65598 IBE65598:IBV65598 HRI65598:HRZ65598 HHM65598:HID65598 GXQ65598:GYH65598 GNU65598:GOL65598 GDY65598:GEP65598 FUC65598:FUT65598 FKG65598:FKX65598 FAK65598:FBB65598 EQO65598:ERF65598 EGS65598:EHJ65598 DWW65598:DXN65598 DNA65598:DNR65598 DDE65598:DDV65598 CTI65598:CTZ65598 CJM65598:CKD65598 BZQ65598:CAH65598 BPU65598:BQL65598 BFY65598:BGP65598 AWC65598:AWT65598 AMG65598:AMX65598 ACK65598:ADB65598 SO65598:TF65598 IS65598:JJ65598 WVE37:WVV37 WLI37:WLZ37 WBM37:WCD37 VRQ37:VSH37 VHU37:VIL37 UXY37:UYP37 UOC37:UOT37 UEG37:UEX37 TUK37:TVB37 TKO37:TLF37 TAS37:TBJ37 SQW37:SRN37 SHA37:SHR37 RXE37:RXV37 RNI37:RNZ37 RDM37:RED37 QTQ37:QUH37 QJU37:QKL37 PZY37:QAP37 PQC37:PQT37 PGG37:PGX37 OWK37:OXB37 OMO37:ONF37 OCS37:ODJ37 NSW37:NTN37 NJA37:NJR37 MZE37:MZV37 MPI37:MPZ37 MFM37:MGD37 LVQ37:LWH37 LLU37:LML37 LBY37:LCP37 KSC37:KST37 KIG37:KIX37 JYK37:JZB37 JOO37:JPF37 JES37:JFJ37 IUW37:IVN37 ILA37:ILR37 IBE37:IBV37 HRI37:HRZ37 HHM37:HID37 GXQ37:GYH37 GNU37:GOL37 GDY37:GEP37 FUC37:FUT37 FKG37:FKX37 FAK37:FBB37 EQO37:ERF37 EGS37:EHJ37 DWW37:DXN37 DNA37:DNR37 DDE37:DDV37 CTI37:CTZ37 CJM37:CKD37 BZQ37:CAH37 BPU37:BQL37 BFY37:BGP37 AWC37:AWT37 AMG37:AMX37 ACK37:ADB37 SO37:TF37 IS37:JJ37 WVG983457:WVS983457 WLK983457:WLW983457 WBO983457:WCA983457 VRS983457:VSE983457 VHW983457:VII983457 UYA983457:UYM983457 UOE983457:UOQ983457 UEI983457:UEU983457 TUM983457:TUY983457 TKQ983457:TLC983457 TAU983457:TBG983457 SQY983457:SRK983457 SHC983457:SHO983457 RXG983457:RXS983457 RNK983457:RNW983457 RDO983457:REA983457 QTS983457:QUE983457 QJW983457:QKI983457 QAA983457:QAM983457 PQE983457:PQQ983457 PGI983457:PGU983457 OWM983457:OWY983457 OMQ983457:ONC983457 OCU983457:ODG983457 NSY983457:NTK983457 NJC983457:NJO983457 MZG983457:MZS983457 MPK983457:MPW983457 MFO983457:MGA983457 LVS983457:LWE983457 LLW983457:LMI983457 LCA983457:LCM983457 KSE983457:KSQ983457 KII983457:KIU983457 JYM983457:JYY983457 JOQ983457:JPC983457 JEU983457:JFG983457 IUY983457:IVK983457 ILC983457:ILO983457 IBG983457:IBS983457 HRK983457:HRW983457 HHO983457:HIA983457 GXS983457:GYE983457 GNW983457:GOI983457 GEA983457:GEM983457 FUE983457:FUQ983457 FKI983457:FKU983457 FAM983457:FAY983457 EQQ983457:ERC983457 EGU983457:EHG983457 DWY983457:DXK983457 DNC983457:DNO983457 DDG983457:DDS983457 CTK983457:CTW983457 CJO983457:CKA983457 BZS983457:CAE983457 BPW983457:BQI983457 BGA983457:BGM983457 AWE983457:AWQ983457 AMI983457:AMU983457 ACM983457:ACY983457 SQ983457:TC983457 IU983457:JG983457 WVG917921:WVS917921 WLK917921:WLW917921 WBO917921:WCA917921 VRS917921:VSE917921 VHW917921:VII917921 UYA917921:UYM917921 UOE917921:UOQ917921 UEI917921:UEU917921 TUM917921:TUY917921 TKQ917921:TLC917921 TAU917921:TBG917921 SQY917921:SRK917921 SHC917921:SHO917921 RXG917921:RXS917921 RNK917921:RNW917921 RDO917921:REA917921 QTS917921:QUE917921 QJW917921:QKI917921 QAA917921:QAM917921 PQE917921:PQQ917921 PGI917921:PGU917921 OWM917921:OWY917921 OMQ917921:ONC917921 OCU917921:ODG917921 NSY917921:NTK917921 NJC917921:NJO917921 MZG917921:MZS917921 MPK917921:MPW917921 MFO917921:MGA917921 LVS917921:LWE917921 LLW917921:LMI917921 LCA917921:LCM917921 KSE917921:KSQ917921 KII917921:KIU917921 JYM917921:JYY917921 JOQ917921:JPC917921 JEU917921:JFG917921 IUY917921:IVK917921 ILC917921:ILO917921 IBG917921:IBS917921 HRK917921:HRW917921 HHO917921:HIA917921 GXS917921:GYE917921 GNW917921:GOI917921 GEA917921:GEM917921 FUE917921:FUQ917921 FKI917921:FKU917921 FAM917921:FAY917921 EQQ917921:ERC917921 EGU917921:EHG917921 DWY917921:DXK917921 DNC917921:DNO917921 DDG917921:DDS917921 CTK917921:CTW917921 CJO917921:CKA917921 BZS917921:CAE917921 BPW917921:BQI917921 BGA917921:BGM917921 AWE917921:AWQ917921 AMI917921:AMU917921 ACM917921:ACY917921 SQ917921:TC917921 IU917921:JG917921 WVG852385:WVS852385 WLK852385:WLW852385 WBO852385:WCA852385 VRS852385:VSE852385 VHW852385:VII852385 UYA852385:UYM852385 UOE852385:UOQ852385 UEI852385:UEU852385 TUM852385:TUY852385 TKQ852385:TLC852385 TAU852385:TBG852385 SQY852385:SRK852385 SHC852385:SHO852385 RXG852385:RXS852385 RNK852385:RNW852385 RDO852385:REA852385 QTS852385:QUE852385 QJW852385:QKI852385 QAA852385:QAM852385 PQE852385:PQQ852385 PGI852385:PGU852385 OWM852385:OWY852385 OMQ852385:ONC852385 OCU852385:ODG852385 NSY852385:NTK852385 NJC852385:NJO852385 MZG852385:MZS852385 MPK852385:MPW852385 MFO852385:MGA852385 LVS852385:LWE852385 LLW852385:LMI852385 LCA852385:LCM852385 KSE852385:KSQ852385 KII852385:KIU852385 JYM852385:JYY852385 JOQ852385:JPC852385 JEU852385:JFG852385 IUY852385:IVK852385 ILC852385:ILO852385 IBG852385:IBS852385 HRK852385:HRW852385 HHO852385:HIA852385 GXS852385:GYE852385 GNW852385:GOI852385 GEA852385:GEM852385 FUE852385:FUQ852385 FKI852385:FKU852385 FAM852385:FAY852385 EQQ852385:ERC852385 EGU852385:EHG852385 DWY852385:DXK852385 DNC852385:DNO852385 DDG852385:DDS852385 CTK852385:CTW852385 CJO852385:CKA852385 BZS852385:CAE852385 BPW852385:BQI852385 BGA852385:BGM852385 AWE852385:AWQ852385 AMI852385:AMU852385 ACM852385:ACY852385 SQ852385:TC852385 IU852385:JG852385 WVG786849:WVS786849 WLK786849:WLW786849 WBO786849:WCA786849 VRS786849:VSE786849 VHW786849:VII786849 UYA786849:UYM786849 UOE786849:UOQ786849 UEI786849:UEU786849 TUM786849:TUY786849 TKQ786849:TLC786849 TAU786849:TBG786849 SQY786849:SRK786849 SHC786849:SHO786849 RXG786849:RXS786849 RNK786849:RNW786849 RDO786849:REA786849 QTS786849:QUE786849 QJW786849:QKI786849 QAA786849:QAM786849 PQE786849:PQQ786849 PGI786849:PGU786849 OWM786849:OWY786849 OMQ786849:ONC786849 OCU786849:ODG786849 NSY786849:NTK786849 NJC786849:NJO786849 MZG786849:MZS786849 MPK786849:MPW786849 MFO786849:MGA786849 LVS786849:LWE786849 LLW786849:LMI786849 LCA786849:LCM786849 KSE786849:KSQ786849 KII786849:KIU786849 JYM786849:JYY786849 JOQ786849:JPC786849 JEU786849:JFG786849 IUY786849:IVK786849 ILC786849:ILO786849 IBG786849:IBS786849 HRK786849:HRW786849 HHO786849:HIA786849 GXS786849:GYE786849 GNW786849:GOI786849 GEA786849:GEM786849 FUE786849:FUQ786849 FKI786849:FKU786849 FAM786849:FAY786849 EQQ786849:ERC786849 EGU786849:EHG786849 DWY786849:DXK786849 DNC786849:DNO786849 DDG786849:DDS786849 CTK786849:CTW786849 CJO786849:CKA786849 BZS786849:CAE786849 BPW786849:BQI786849 BGA786849:BGM786849 AWE786849:AWQ786849 AMI786849:AMU786849 ACM786849:ACY786849 SQ786849:TC786849 IU786849:JG786849 WVG721313:WVS721313 WLK721313:WLW721313 WBO721313:WCA721313 VRS721313:VSE721313 VHW721313:VII721313 UYA721313:UYM721313 UOE721313:UOQ721313 UEI721313:UEU721313 TUM721313:TUY721313 TKQ721313:TLC721313 TAU721313:TBG721313 SQY721313:SRK721313 SHC721313:SHO721313 RXG721313:RXS721313 RNK721313:RNW721313 RDO721313:REA721313 QTS721313:QUE721313 QJW721313:QKI721313 QAA721313:QAM721313 PQE721313:PQQ721313 PGI721313:PGU721313 OWM721313:OWY721313 OMQ721313:ONC721313 OCU721313:ODG721313 NSY721313:NTK721313 NJC721313:NJO721313 MZG721313:MZS721313 MPK721313:MPW721313 MFO721313:MGA721313 LVS721313:LWE721313 LLW721313:LMI721313 LCA721313:LCM721313 KSE721313:KSQ721313 KII721313:KIU721313 JYM721313:JYY721313 JOQ721313:JPC721313 JEU721313:JFG721313 IUY721313:IVK721313 ILC721313:ILO721313 IBG721313:IBS721313 HRK721313:HRW721313 HHO721313:HIA721313 GXS721313:GYE721313 GNW721313:GOI721313 GEA721313:GEM721313 FUE721313:FUQ721313 FKI721313:FKU721313 FAM721313:FAY721313 EQQ721313:ERC721313 EGU721313:EHG721313 DWY721313:DXK721313 DNC721313:DNO721313 DDG721313:DDS721313 CTK721313:CTW721313 CJO721313:CKA721313 BZS721313:CAE721313 BPW721313:BQI721313 BGA721313:BGM721313 AWE721313:AWQ721313 AMI721313:AMU721313 ACM721313:ACY721313 SQ721313:TC721313 IU721313:JG721313 WVG655777:WVS655777 WLK655777:WLW655777 WBO655777:WCA655777 VRS655777:VSE655777 VHW655777:VII655777 UYA655777:UYM655777 UOE655777:UOQ655777 UEI655777:UEU655777 TUM655777:TUY655777 TKQ655777:TLC655777 TAU655777:TBG655777 SQY655777:SRK655777 SHC655777:SHO655777 RXG655777:RXS655777 RNK655777:RNW655777 RDO655777:REA655777 QTS655777:QUE655777 QJW655777:QKI655777 QAA655777:QAM655777 PQE655777:PQQ655777 PGI655777:PGU655777 OWM655777:OWY655777 OMQ655777:ONC655777 OCU655777:ODG655777 NSY655777:NTK655777 NJC655777:NJO655777 MZG655777:MZS655777 MPK655777:MPW655777 MFO655777:MGA655777 LVS655777:LWE655777 LLW655777:LMI655777 LCA655777:LCM655777 KSE655777:KSQ655777 KII655777:KIU655777 JYM655777:JYY655777 JOQ655777:JPC655777 JEU655777:JFG655777 IUY655777:IVK655777 ILC655777:ILO655777 IBG655777:IBS655777 HRK655777:HRW655777 HHO655777:HIA655777 GXS655777:GYE655777 GNW655777:GOI655777 GEA655777:GEM655777 FUE655777:FUQ655777 FKI655777:FKU655777 FAM655777:FAY655777 EQQ655777:ERC655777 EGU655777:EHG655777 DWY655777:DXK655777 DNC655777:DNO655777 DDG655777:DDS655777 CTK655777:CTW655777 CJO655777:CKA655777 BZS655777:CAE655777 BPW655777:BQI655777 BGA655777:BGM655777 AWE655777:AWQ655777 AMI655777:AMU655777 ACM655777:ACY655777 SQ655777:TC655777 IU655777:JG655777 WVG590241:WVS590241 WLK590241:WLW590241 WBO590241:WCA590241 VRS590241:VSE590241 VHW590241:VII590241 UYA590241:UYM590241 UOE590241:UOQ590241 UEI590241:UEU590241 TUM590241:TUY590241 TKQ590241:TLC590241 TAU590241:TBG590241 SQY590241:SRK590241 SHC590241:SHO590241 RXG590241:RXS590241 RNK590241:RNW590241 RDO590241:REA590241 QTS590241:QUE590241 QJW590241:QKI590241 QAA590241:QAM590241 PQE590241:PQQ590241 PGI590241:PGU590241 OWM590241:OWY590241 OMQ590241:ONC590241 OCU590241:ODG590241 NSY590241:NTK590241 NJC590241:NJO590241 MZG590241:MZS590241 MPK590241:MPW590241 MFO590241:MGA590241 LVS590241:LWE590241 LLW590241:LMI590241 LCA590241:LCM590241 KSE590241:KSQ590241 KII590241:KIU590241 JYM590241:JYY590241 JOQ590241:JPC590241 JEU590241:JFG590241 IUY590241:IVK590241 ILC590241:ILO590241 IBG590241:IBS590241 HRK590241:HRW590241 HHO590241:HIA590241 GXS590241:GYE590241 GNW590241:GOI590241 GEA590241:GEM590241 FUE590241:FUQ590241 FKI590241:FKU590241 FAM590241:FAY590241 EQQ590241:ERC590241 EGU590241:EHG590241 DWY590241:DXK590241 DNC590241:DNO590241 DDG590241:DDS590241 CTK590241:CTW590241 CJO590241:CKA590241 BZS590241:CAE590241 BPW590241:BQI590241 BGA590241:BGM590241 AWE590241:AWQ590241 AMI590241:AMU590241 ACM590241:ACY590241 SQ590241:TC590241 IU590241:JG590241 WVG524705:WVS524705 WLK524705:WLW524705 WBO524705:WCA524705 VRS524705:VSE524705 VHW524705:VII524705 UYA524705:UYM524705 UOE524705:UOQ524705 UEI524705:UEU524705 TUM524705:TUY524705 TKQ524705:TLC524705 TAU524705:TBG524705 SQY524705:SRK524705 SHC524705:SHO524705 RXG524705:RXS524705 RNK524705:RNW524705 RDO524705:REA524705 QTS524705:QUE524705 QJW524705:QKI524705 QAA524705:QAM524705 PQE524705:PQQ524705 PGI524705:PGU524705 OWM524705:OWY524705 OMQ524705:ONC524705 OCU524705:ODG524705 NSY524705:NTK524705 NJC524705:NJO524705 MZG524705:MZS524705 MPK524705:MPW524705 MFO524705:MGA524705 LVS524705:LWE524705 LLW524705:LMI524705 LCA524705:LCM524705 KSE524705:KSQ524705 KII524705:KIU524705 JYM524705:JYY524705 JOQ524705:JPC524705 JEU524705:JFG524705 IUY524705:IVK524705 ILC524705:ILO524705 IBG524705:IBS524705 HRK524705:HRW524705 HHO524705:HIA524705 GXS524705:GYE524705 GNW524705:GOI524705 GEA524705:GEM524705 FUE524705:FUQ524705 FKI524705:FKU524705 FAM524705:FAY524705 EQQ524705:ERC524705 EGU524705:EHG524705 DWY524705:DXK524705 DNC524705:DNO524705 DDG524705:DDS524705 CTK524705:CTW524705 CJO524705:CKA524705 BZS524705:CAE524705 BPW524705:BQI524705 BGA524705:BGM524705 AWE524705:AWQ524705 AMI524705:AMU524705 ACM524705:ACY524705 SQ524705:TC524705 IU524705:JG524705 WVG459169:WVS459169 WLK459169:WLW459169 WBO459169:WCA459169 VRS459169:VSE459169 VHW459169:VII459169 UYA459169:UYM459169 UOE459169:UOQ459169 UEI459169:UEU459169 TUM459169:TUY459169 TKQ459169:TLC459169 TAU459169:TBG459169 SQY459169:SRK459169 SHC459169:SHO459169 RXG459169:RXS459169 RNK459169:RNW459169 RDO459169:REA459169 QTS459169:QUE459169 QJW459169:QKI459169 QAA459169:QAM459169 PQE459169:PQQ459169 PGI459169:PGU459169 OWM459169:OWY459169 OMQ459169:ONC459169 OCU459169:ODG459169 NSY459169:NTK459169 NJC459169:NJO459169 MZG459169:MZS459169 MPK459169:MPW459169 MFO459169:MGA459169 LVS459169:LWE459169 LLW459169:LMI459169 LCA459169:LCM459169 KSE459169:KSQ459169 KII459169:KIU459169 JYM459169:JYY459169 JOQ459169:JPC459169 JEU459169:JFG459169 IUY459169:IVK459169 ILC459169:ILO459169 IBG459169:IBS459169 HRK459169:HRW459169 HHO459169:HIA459169 GXS459169:GYE459169 GNW459169:GOI459169 GEA459169:GEM459169 FUE459169:FUQ459169 FKI459169:FKU459169 FAM459169:FAY459169 EQQ459169:ERC459169 EGU459169:EHG459169 DWY459169:DXK459169 DNC459169:DNO459169 DDG459169:DDS459169 CTK459169:CTW459169 CJO459169:CKA459169 BZS459169:CAE459169 BPW459169:BQI459169 BGA459169:BGM459169 AWE459169:AWQ459169 AMI459169:AMU459169 ACM459169:ACY459169 SQ459169:TC459169 IU459169:JG459169 WVG393633:WVS393633 WLK393633:WLW393633 WBO393633:WCA393633 VRS393633:VSE393633 VHW393633:VII393633 UYA393633:UYM393633 UOE393633:UOQ393633 UEI393633:UEU393633 TUM393633:TUY393633 TKQ393633:TLC393633 TAU393633:TBG393633 SQY393633:SRK393633 SHC393633:SHO393633 RXG393633:RXS393633 RNK393633:RNW393633 RDO393633:REA393633 QTS393633:QUE393633 QJW393633:QKI393633 QAA393633:QAM393633 PQE393633:PQQ393633 PGI393633:PGU393633 OWM393633:OWY393633 OMQ393633:ONC393633 OCU393633:ODG393633 NSY393633:NTK393633 NJC393633:NJO393633 MZG393633:MZS393633 MPK393633:MPW393633 MFO393633:MGA393633 LVS393633:LWE393633 LLW393633:LMI393633 LCA393633:LCM393633 KSE393633:KSQ393633 KII393633:KIU393633 JYM393633:JYY393633 JOQ393633:JPC393633 JEU393633:JFG393633 IUY393633:IVK393633 ILC393633:ILO393633 IBG393633:IBS393633 HRK393633:HRW393633 HHO393633:HIA393633 GXS393633:GYE393633 GNW393633:GOI393633 GEA393633:GEM393633 FUE393633:FUQ393633 FKI393633:FKU393633 FAM393633:FAY393633 EQQ393633:ERC393633 EGU393633:EHG393633 DWY393633:DXK393633 DNC393633:DNO393633 DDG393633:DDS393633 CTK393633:CTW393633 CJO393633:CKA393633 BZS393633:CAE393633 BPW393633:BQI393633 BGA393633:BGM393633 AWE393633:AWQ393633 AMI393633:AMU393633 ACM393633:ACY393633 SQ393633:TC393633 IU393633:JG393633 WVG328097:WVS328097 WLK328097:WLW328097 WBO328097:WCA328097 VRS328097:VSE328097 VHW328097:VII328097 UYA328097:UYM328097 UOE328097:UOQ328097 UEI328097:UEU328097 TUM328097:TUY328097 TKQ328097:TLC328097 TAU328097:TBG328097 SQY328097:SRK328097 SHC328097:SHO328097 RXG328097:RXS328097 RNK328097:RNW328097 RDO328097:REA328097 QTS328097:QUE328097 QJW328097:QKI328097 QAA328097:QAM328097 PQE328097:PQQ328097 PGI328097:PGU328097 OWM328097:OWY328097 OMQ328097:ONC328097 OCU328097:ODG328097 NSY328097:NTK328097 NJC328097:NJO328097 MZG328097:MZS328097 MPK328097:MPW328097 MFO328097:MGA328097 LVS328097:LWE328097 LLW328097:LMI328097 LCA328097:LCM328097 KSE328097:KSQ328097 KII328097:KIU328097 JYM328097:JYY328097 JOQ328097:JPC328097 JEU328097:JFG328097 IUY328097:IVK328097 ILC328097:ILO328097 IBG328097:IBS328097 HRK328097:HRW328097 HHO328097:HIA328097 GXS328097:GYE328097 GNW328097:GOI328097 GEA328097:GEM328097 FUE328097:FUQ328097 FKI328097:FKU328097 FAM328097:FAY328097 EQQ328097:ERC328097 EGU328097:EHG328097 DWY328097:DXK328097 DNC328097:DNO328097 DDG328097:DDS328097 CTK328097:CTW328097 CJO328097:CKA328097 BZS328097:CAE328097 BPW328097:BQI328097 BGA328097:BGM328097 AWE328097:AWQ328097 AMI328097:AMU328097 ACM328097:ACY328097 SQ328097:TC328097 IU328097:JG328097 WVG262561:WVS262561 WLK262561:WLW262561 WBO262561:WCA262561 VRS262561:VSE262561 VHW262561:VII262561 UYA262561:UYM262561 UOE262561:UOQ262561 UEI262561:UEU262561 TUM262561:TUY262561 TKQ262561:TLC262561 TAU262561:TBG262561 SQY262561:SRK262561 SHC262561:SHO262561 RXG262561:RXS262561 RNK262561:RNW262561 RDO262561:REA262561 QTS262561:QUE262561 QJW262561:QKI262561 QAA262561:QAM262561 PQE262561:PQQ262561 PGI262561:PGU262561 OWM262561:OWY262561 OMQ262561:ONC262561 OCU262561:ODG262561 NSY262561:NTK262561 NJC262561:NJO262561 MZG262561:MZS262561 MPK262561:MPW262561 MFO262561:MGA262561 LVS262561:LWE262561 LLW262561:LMI262561 LCA262561:LCM262561 KSE262561:KSQ262561 KII262561:KIU262561 JYM262561:JYY262561 JOQ262561:JPC262561 JEU262561:JFG262561 IUY262561:IVK262561 ILC262561:ILO262561 IBG262561:IBS262561 HRK262561:HRW262561 HHO262561:HIA262561 GXS262561:GYE262561 GNW262561:GOI262561 GEA262561:GEM262561 FUE262561:FUQ262561 FKI262561:FKU262561 FAM262561:FAY262561 EQQ262561:ERC262561 EGU262561:EHG262561 DWY262561:DXK262561 DNC262561:DNO262561 DDG262561:DDS262561 CTK262561:CTW262561 CJO262561:CKA262561 BZS262561:CAE262561 BPW262561:BQI262561 BGA262561:BGM262561 AWE262561:AWQ262561 AMI262561:AMU262561 ACM262561:ACY262561 SQ262561:TC262561 IU262561:JG262561 WVG197025:WVS197025 WLK197025:WLW197025 WBO197025:WCA197025 VRS197025:VSE197025 VHW197025:VII197025 UYA197025:UYM197025 UOE197025:UOQ197025 UEI197025:UEU197025 TUM197025:TUY197025 TKQ197025:TLC197025 TAU197025:TBG197025 SQY197025:SRK197025 SHC197025:SHO197025 RXG197025:RXS197025 RNK197025:RNW197025 RDO197025:REA197025 QTS197025:QUE197025 QJW197025:QKI197025 QAA197025:QAM197025 PQE197025:PQQ197025 PGI197025:PGU197025 OWM197025:OWY197025 OMQ197025:ONC197025 OCU197025:ODG197025 NSY197025:NTK197025 NJC197025:NJO197025 MZG197025:MZS197025 MPK197025:MPW197025 MFO197025:MGA197025 LVS197025:LWE197025 LLW197025:LMI197025 LCA197025:LCM197025 KSE197025:KSQ197025 KII197025:KIU197025 JYM197025:JYY197025 JOQ197025:JPC197025 JEU197025:JFG197025 IUY197025:IVK197025 ILC197025:ILO197025 IBG197025:IBS197025 HRK197025:HRW197025 HHO197025:HIA197025 GXS197025:GYE197025 GNW197025:GOI197025 GEA197025:GEM197025 FUE197025:FUQ197025 FKI197025:FKU197025 FAM197025:FAY197025 EQQ197025:ERC197025 EGU197025:EHG197025 DWY197025:DXK197025 DNC197025:DNO197025 DDG197025:DDS197025 CTK197025:CTW197025 CJO197025:CKA197025 BZS197025:CAE197025 BPW197025:BQI197025 BGA197025:BGM197025 AWE197025:AWQ197025 AMI197025:AMU197025 ACM197025:ACY197025 SQ197025:TC197025 IU197025:JG197025 WVG131489:WVS131489 WLK131489:WLW131489 WBO131489:WCA131489 VRS131489:VSE131489 VHW131489:VII131489 UYA131489:UYM131489 UOE131489:UOQ131489 UEI131489:UEU131489 TUM131489:TUY131489 TKQ131489:TLC131489 TAU131489:TBG131489 SQY131489:SRK131489 SHC131489:SHO131489 RXG131489:RXS131489 RNK131489:RNW131489 RDO131489:REA131489 QTS131489:QUE131489 QJW131489:QKI131489 QAA131489:QAM131489 PQE131489:PQQ131489 PGI131489:PGU131489 OWM131489:OWY131489 OMQ131489:ONC131489 OCU131489:ODG131489 NSY131489:NTK131489 NJC131489:NJO131489 MZG131489:MZS131489 MPK131489:MPW131489 MFO131489:MGA131489 LVS131489:LWE131489 LLW131489:LMI131489 LCA131489:LCM131489 KSE131489:KSQ131489 KII131489:KIU131489 JYM131489:JYY131489 JOQ131489:JPC131489 JEU131489:JFG131489 IUY131489:IVK131489 ILC131489:ILO131489 IBG131489:IBS131489 HRK131489:HRW131489 HHO131489:HIA131489 GXS131489:GYE131489 GNW131489:GOI131489 GEA131489:GEM131489 FUE131489:FUQ131489 FKI131489:FKU131489 FAM131489:FAY131489 EQQ131489:ERC131489 EGU131489:EHG131489 DWY131489:DXK131489 DNC131489:DNO131489 DDG131489:DDS131489 CTK131489:CTW131489 CJO131489:CKA131489 BZS131489:CAE131489 BPW131489:BQI131489 BGA131489:BGM131489 AWE131489:AWQ131489 AMI131489:AMU131489 ACM131489:ACY131489 SQ131489:TC131489 IU131489:JG131489 WVG65953:WVS65953 WLK65953:WLW65953 WBO65953:WCA65953 VRS65953:VSE65953 VHW65953:VII65953 UYA65953:UYM65953 UOE65953:UOQ65953 UEI65953:UEU65953 TUM65953:TUY65953 TKQ65953:TLC65953 TAU65953:TBG65953 SQY65953:SRK65953 SHC65953:SHO65953 RXG65953:RXS65953 RNK65953:RNW65953 RDO65953:REA65953 QTS65953:QUE65953 QJW65953:QKI65953 QAA65953:QAM65953 PQE65953:PQQ65953 PGI65953:PGU65953 OWM65953:OWY65953 OMQ65953:ONC65953 OCU65953:ODG65953 NSY65953:NTK65953 NJC65953:NJO65953 MZG65953:MZS65953 MPK65953:MPW65953 MFO65953:MGA65953 LVS65953:LWE65953 LLW65953:LMI65953 LCA65953:LCM65953 KSE65953:KSQ65953 KII65953:KIU65953 JYM65953:JYY65953 JOQ65953:JPC65953 JEU65953:JFG65953 IUY65953:IVK65953 ILC65953:ILO65953 IBG65953:IBS65953 HRK65953:HRW65953 HHO65953:HIA65953 GXS65953:GYE65953 GNW65953:GOI65953 GEA65953:GEM65953 FUE65953:FUQ65953 FKI65953:FKU65953 FAM65953:FAY65953 EQQ65953:ERC65953 EGU65953:EHG65953 DWY65953:DXK65953 DNC65953:DNO65953 DDG65953:DDS65953 CTK65953:CTW65953 CJO65953:CKA65953 BZS65953:CAE65953 BPW65953:BQI65953 BGA65953:BGM65953 AWE65953:AWQ65953 AMI65953:AMU65953 ACM65953:ACY65953 SQ65953:TC65953 IU65953:JG65953 WVG418:WVS418 WLK418:WLW418 WBO418:WCA418 VRS418:VSE418 VHW418:VII418 UYA418:UYM418 UOE418:UOQ418 UEI418:UEU418 TUM418:TUY418 TKQ418:TLC418 TAU418:TBG418 SQY418:SRK418 SHC418:SHO418 RXG418:RXS418 RNK418:RNW418 RDO418:REA418 QTS418:QUE418 QJW418:QKI418 QAA418:QAM418 PQE418:PQQ418 PGI418:PGU418 OWM418:OWY418 OMQ418:ONC418 OCU418:ODG418 NSY418:NTK418 NJC418:NJO418 MZG418:MZS418 MPK418:MPW418 MFO418:MGA418 LVS418:LWE418 LLW418:LMI418 LCA418:LCM418 KSE418:KSQ418 KII418:KIU418 JYM418:JYY418 JOQ418:JPC418 JEU418:JFG418 IUY418:IVK418 ILC418:ILO418 IBG418:IBS418 HRK418:HRW418 HHO418:HIA418 GXS418:GYE418 GNW418:GOI418 GEA418:GEM418 FUE418:FUQ418 FKI418:FKU418 FAM418:FAY418 EQQ418:ERC418 EGU418:EHG418 DWY418:DXK418 DNC418:DNO418 DDG418:DDS418 CTK418:CTW418 CJO418:CKA418 BZS418:CAE418 BPW418:BQI418 BGA418:BGM418 AWE418:AWQ418 AMI418:AMU418 ACM418:ACY418 SQ418:TC418 IU418:JG418 WVK983089:WVV983089 WLO983089:WLZ983089 WBS983089:WCD983089 VRW983089:VSH983089 VIA983089:VIL983089 UYE983089:UYP983089 UOI983089:UOT983089 UEM983089:UEX983089 TUQ983089:TVB983089 TKU983089:TLF983089 TAY983089:TBJ983089 SRC983089:SRN983089 SHG983089:SHR983089 RXK983089:RXV983089 RNO983089:RNZ983089 RDS983089:RED983089 QTW983089:QUH983089 QKA983089:QKL983089 QAE983089:QAP983089 PQI983089:PQT983089 PGM983089:PGX983089 OWQ983089:OXB983089 OMU983089:ONF983089 OCY983089:ODJ983089 NTC983089:NTN983089 NJG983089:NJR983089 MZK983089:MZV983089 MPO983089:MPZ983089 MFS983089:MGD983089 LVW983089:LWH983089 LMA983089:LML983089 LCE983089:LCP983089 KSI983089:KST983089 KIM983089:KIX983089 JYQ983089:JZB983089 JOU983089:JPF983089 JEY983089:JFJ983089 IVC983089:IVN983089 ILG983089:ILR983089 IBK983089:IBV983089 HRO983089:HRZ983089 HHS983089:HID983089 GXW983089:GYH983089 GOA983089:GOL983089 GEE983089:GEP983089 FUI983089:FUT983089 FKM983089:FKX983089 FAQ983089:FBB983089 EQU983089:ERF983089 EGY983089:EHJ983089 DXC983089:DXN983089 DNG983089:DNR983089 DDK983089:DDV983089 CTO983089:CTZ983089 CJS983089:CKD983089 BZW983089:CAH983089 BQA983089:BQL983089 BGE983089:BGP983089 AWI983089:AWT983089 AMM983089:AMX983089 ACQ983089:ADB983089 SU983089:TF983089 IY983089:JJ983089 WVK917553:WVV917553 WLO917553:WLZ917553 WBS917553:WCD917553 VRW917553:VSH917553 VIA917553:VIL917553 UYE917553:UYP917553 UOI917553:UOT917553 UEM917553:UEX917553 TUQ917553:TVB917553 TKU917553:TLF917553 TAY917553:TBJ917553 SRC917553:SRN917553 SHG917553:SHR917553 RXK917553:RXV917553 RNO917553:RNZ917553 RDS917553:RED917553 QTW917553:QUH917553 QKA917553:QKL917553 QAE917553:QAP917553 PQI917553:PQT917553 PGM917553:PGX917553 OWQ917553:OXB917553 OMU917553:ONF917553 OCY917553:ODJ917553 NTC917553:NTN917553 NJG917553:NJR917553 MZK917553:MZV917553 MPO917553:MPZ917553 MFS917553:MGD917553 LVW917553:LWH917553 LMA917553:LML917553 LCE917553:LCP917553 KSI917553:KST917553 KIM917553:KIX917553 JYQ917553:JZB917553 JOU917553:JPF917553 JEY917553:JFJ917553 IVC917553:IVN917553 ILG917553:ILR917553 IBK917553:IBV917553 HRO917553:HRZ917553 HHS917553:HID917553 GXW917553:GYH917553 GOA917553:GOL917553 GEE917553:GEP917553 FUI917553:FUT917553 FKM917553:FKX917553 FAQ917553:FBB917553 EQU917553:ERF917553 EGY917553:EHJ917553 DXC917553:DXN917553 DNG917553:DNR917553 DDK917553:DDV917553 CTO917553:CTZ917553 CJS917553:CKD917553 BZW917553:CAH917553 BQA917553:BQL917553 BGE917553:BGP917553 AWI917553:AWT917553 AMM917553:AMX917553 ACQ917553:ADB917553 SU917553:TF917553 IY917553:JJ917553 WVK852017:WVV852017 WLO852017:WLZ852017 WBS852017:WCD852017 VRW852017:VSH852017 VIA852017:VIL852017 UYE852017:UYP852017 UOI852017:UOT852017 UEM852017:UEX852017 TUQ852017:TVB852017 TKU852017:TLF852017 TAY852017:TBJ852017 SRC852017:SRN852017 SHG852017:SHR852017 RXK852017:RXV852017 RNO852017:RNZ852017 RDS852017:RED852017 QTW852017:QUH852017 QKA852017:QKL852017 QAE852017:QAP852017 PQI852017:PQT852017 PGM852017:PGX852017 OWQ852017:OXB852017 OMU852017:ONF852017 OCY852017:ODJ852017 NTC852017:NTN852017 NJG852017:NJR852017 MZK852017:MZV852017 MPO852017:MPZ852017 MFS852017:MGD852017 LVW852017:LWH852017 LMA852017:LML852017 LCE852017:LCP852017 KSI852017:KST852017 KIM852017:KIX852017 JYQ852017:JZB852017 JOU852017:JPF852017 JEY852017:JFJ852017 IVC852017:IVN852017 ILG852017:ILR852017 IBK852017:IBV852017 HRO852017:HRZ852017 HHS852017:HID852017 GXW852017:GYH852017 GOA852017:GOL852017 GEE852017:GEP852017 FUI852017:FUT852017 FKM852017:FKX852017 FAQ852017:FBB852017 EQU852017:ERF852017 EGY852017:EHJ852017 DXC852017:DXN852017 DNG852017:DNR852017 DDK852017:DDV852017 CTO852017:CTZ852017 CJS852017:CKD852017 BZW852017:CAH852017 BQA852017:BQL852017 BGE852017:BGP852017 AWI852017:AWT852017 AMM852017:AMX852017 ACQ852017:ADB852017 SU852017:TF852017 IY852017:JJ852017 WVK786481:WVV786481 WLO786481:WLZ786481 WBS786481:WCD786481 VRW786481:VSH786481 VIA786481:VIL786481 UYE786481:UYP786481 UOI786481:UOT786481 UEM786481:UEX786481 TUQ786481:TVB786481 TKU786481:TLF786481 TAY786481:TBJ786481 SRC786481:SRN786481 SHG786481:SHR786481 RXK786481:RXV786481 RNO786481:RNZ786481 RDS786481:RED786481 QTW786481:QUH786481 QKA786481:QKL786481 QAE786481:QAP786481 PQI786481:PQT786481 PGM786481:PGX786481 OWQ786481:OXB786481 OMU786481:ONF786481 OCY786481:ODJ786481 NTC786481:NTN786481 NJG786481:NJR786481 MZK786481:MZV786481 MPO786481:MPZ786481 MFS786481:MGD786481 LVW786481:LWH786481 LMA786481:LML786481 LCE786481:LCP786481 KSI786481:KST786481 KIM786481:KIX786481 JYQ786481:JZB786481 JOU786481:JPF786481 JEY786481:JFJ786481 IVC786481:IVN786481 ILG786481:ILR786481 IBK786481:IBV786481 HRO786481:HRZ786481 HHS786481:HID786481 GXW786481:GYH786481 GOA786481:GOL786481 GEE786481:GEP786481 FUI786481:FUT786481 FKM786481:FKX786481 FAQ786481:FBB786481 EQU786481:ERF786481 EGY786481:EHJ786481 DXC786481:DXN786481 DNG786481:DNR786481 DDK786481:DDV786481 CTO786481:CTZ786481 CJS786481:CKD786481 BZW786481:CAH786481 BQA786481:BQL786481 BGE786481:BGP786481 AWI786481:AWT786481 AMM786481:AMX786481 ACQ786481:ADB786481 SU786481:TF786481 IY786481:JJ786481 WVK720945:WVV720945 WLO720945:WLZ720945 WBS720945:WCD720945 VRW720945:VSH720945 VIA720945:VIL720945 UYE720945:UYP720945 UOI720945:UOT720945 UEM720945:UEX720945 TUQ720945:TVB720945 TKU720945:TLF720945 TAY720945:TBJ720945 SRC720945:SRN720945 SHG720945:SHR720945 RXK720945:RXV720945 RNO720945:RNZ720945 RDS720945:RED720945 QTW720945:QUH720945 QKA720945:QKL720945 QAE720945:QAP720945 PQI720945:PQT720945 PGM720945:PGX720945 OWQ720945:OXB720945 OMU720945:ONF720945 OCY720945:ODJ720945 NTC720945:NTN720945 NJG720945:NJR720945 MZK720945:MZV720945 MPO720945:MPZ720945 MFS720945:MGD720945 LVW720945:LWH720945 LMA720945:LML720945 LCE720945:LCP720945 KSI720945:KST720945 KIM720945:KIX720945 JYQ720945:JZB720945 JOU720945:JPF720945 JEY720945:JFJ720945 IVC720945:IVN720945 ILG720945:ILR720945 IBK720945:IBV720945 HRO720945:HRZ720945 HHS720945:HID720945 GXW720945:GYH720945 GOA720945:GOL720945 GEE720945:GEP720945 FUI720945:FUT720945 FKM720945:FKX720945 FAQ720945:FBB720945 EQU720945:ERF720945 EGY720945:EHJ720945 DXC720945:DXN720945 DNG720945:DNR720945 DDK720945:DDV720945 CTO720945:CTZ720945 CJS720945:CKD720945 BZW720945:CAH720945 BQA720945:BQL720945 BGE720945:BGP720945 AWI720945:AWT720945 AMM720945:AMX720945 ACQ720945:ADB720945 SU720945:TF720945 IY720945:JJ720945 WVK655409:WVV655409 WLO655409:WLZ655409 WBS655409:WCD655409 VRW655409:VSH655409 VIA655409:VIL655409 UYE655409:UYP655409 UOI655409:UOT655409 UEM655409:UEX655409 TUQ655409:TVB655409 TKU655409:TLF655409 TAY655409:TBJ655409 SRC655409:SRN655409 SHG655409:SHR655409 RXK655409:RXV655409 RNO655409:RNZ655409 RDS655409:RED655409 QTW655409:QUH655409 QKA655409:QKL655409 QAE655409:QAP655409 PQI655409:PQT655409 PGM655409:PGX655409 OWQ655409:OXB655409 OMU655409:ONF655409 OCY655409:ODJ655409 NTC655409:NTN655409 NJG655409:NJR655409 MZK655409:MZV655409 MPO655409:MPZ655409 MFS655409:MGD655409 LVW655409:LWH655409 LMA655409:LML655409 LCE655409:LCP655409 KSI655409:KST655409 KIM655409:KIX655409 JYQ655409:JZB655409 JOU655409:JPF655409 JEY655409:JFJ655409 IVC655409:IVN655409 ILG655409:ILR655409 IBK655409:IBV655409 HRO655409:HRZ655409 HHS655409:HID655409 GXW655409:GYH655409 GOA655409:GOL655409 GEE655409:GEP655409 FUI655409:FUT655409 FKM655409:FKX655409 FAQ655409:FBB655409 EQU655409:ERF655409 EGY655409:EHJ655409 DXC655409:DXN655409 DNG655409:DNR655409 DDK655409:DDV655409 CTO655409:CTZ655409 CJS655409:CKD655409 BZW655409:CAH655409 BQA655409:BQL655409 BGE655409:BGP655409 AWI655409:AWT655409 AMM655409:AMX655409 ACQ655409:ADB655409 SU655409:TF655409 IY655409:JJ655409 WVK589873:WVV589873 WLO589873:WLZ589873 WBS589873:WCD589873 VRW589873:VSH589873 VIA589873:VIL589873 UYE589873:UYP589873 UOI589873:UOT589873 UEM589873:UEX589873 TUQ589873:TVB589873 TKU589873:TLF589873 TAY589873:TBJ589873 SRC589873:SRN589873 SHG589873:SHR589873 RXK589873:RXV589873 RNO589873:RNZ589873 RDS589873:RED589873 QTW589873:QUH589873 QKA589873:QKL589873 QAE589873:QAP589873 PQI589873:PQT589873 PGM589873:PGX589873 OWQ589873:OXB589873 OMU589873:ONF589873 OCY589873:ODJ589873 NTC589873:NTN589873 NJG589873:NJR589873 MZK589873:MZV589873 MPO589873:MPZ589873 MFS589873:MGD589873 LVW589873:LWH589873 LMA589873:LML589873 LCE589873:LCP589873 KSI589873:KST589873 KIM589873:KIX589873 JYQ589873:JZB589873 JOU589873:JPF589873 JEY589873:JFJ589873 IVC589873:IVN589873 ILG589873:ILR589873 IBK589873:IBV589873 HRO589873:HRZ589873 HHS589873:HID589873 GXW589873:GYH589873 GOA589873:GOL589873 GEE589873:GEP589873 FUI589873:FUT589873 FKM589873:FKX589873 FAQ589873:FBB589873 EQU589873:ERF589873 EGY589873:EHJ589873 DXC589873:DXN589873 DNG589873:DNR589873 DDK589873:DDV589873 CTO589873:CTZ589873 CJS589873:CKD589873 BZW589873:CAH589873 BQA589873:BQL589873 BGE589873:BGP589873 AWI589873:AWT589873 AMM589873:AMX589873 ACQ589873:ADB589873 SU589873:TF589873 IY589873:JJ589873 WVK524337:WVV524337 WLO524337:WLZ524337 WBS524337:WCD524337 VRW524337:VSH524337 VIA524337:VIL524337 UYE524337:UYP524337 UOI524337:UOT524337 UEM524337:UEX524337 TUQ524337:TVB524337 TKU524337:TLF524337 TAY524337:TBJ524337 SRC524337:SRN524337 SHG524337:SHR524337 RXK524337:RXV524337 RNO524337:RNZ524337 RDS524337:RED524337 QTW524337:QUH524337 QKA524337:QKL524337 QAE524337:QAP524337 PQI524337:PQT524337 PGM524337:PGX524337 OWQ524337:OXB524337 OMU524337:ONF524337 OCY524337:ODJ524337 NTC524337:NTN524337 NJG524337:NJR524337 MZK524337:MZV524337 MPO524337:MPZ524337 MFS524337:MGD524337 LVW524337:LWH524337 LMA524337:LML524337 LCE524337:LCP524337 KSI524337:KST524337 KIM524337:KIX524337 JYQ524337:JZB524337 JOU524337:JPF524337 JEY524337:JFJ524337 IVC524337:IVN524337 ILG524337:ILR524337 IBK524337:IBV524337 HRO524337:HRZ524337 HHS524337:HID524337 GXW524337:GYH524337 GOA524337:GOL524337 GEE524337:GEP524337 FUI524337:FUT524337 FKM524337:FKX524337 FAQ524337:FBB524337 EQU524337:ERF524337 EGY524337:EHJ524337 DXC524337:DXN524337 DNG524337:DNR524337 DDK524337:DDV524337 CTO524337:CTZ524337 CJS524337:CKD524337 BZW524337:CAH524337 BQA524337:BQL524337 BGE524337:BGP524337 AWI524337:AWT524337 AMM524337:AMX524337 ACQ524337:ADB524337 SU524337:TF524337 IY524337:JJ524337 WVK458801:WVV458801 WLO458801:WLZ458801 WBS458801:WCD458801 VRW458801:VSH458801 VIA458801:VIL458801 UYE458801:UYP458801 UOI458801:UOT458801 UEM458801:UEX458801 TUQ458801:TVB458801 TKU458801:TLF458801 TAY458801:TBJ458801 SRC458801:SRN458801 SHG458801:SHR458801 RXK458801:RXV458801 RNO458801:RNZ458801 RDS458801:RED458801 QTW458801:QUH458801 QKA458801:QKL458801 QAE458801:QAP458801 PQI458801:PQT458801 PGM458801:PGX458801 OWQ458801:OXB458801 OMU458801:ONF458801 OCY458801:ODJ458801 NTC458801:NTN458801 NJG458801:NJR458801 MZK458801:MZV458801 MPO458801:MPZ458801 MFS458801:MGD458801 LVW458801:LWH458801 LMA458801:LML458801 LCE458801:LCP458801 KSI458801:KST458801 KIM458801:KIX458801 JYQ458801:JZB458801 JOU458801:JPF458801 JEY458801:JFJ458801 IVC458801:IVN458801 ILG458801:ILR458801 IBK458801:IBV458801 HRO458801:HRZ458801 HHS458801:HID458801 GXW458801:GYH458801 GOA458801:GOL458801 GEE458801:GEP458801 FUI458801:FUT458801 FKM458801:FKX458801 FAQ458801:FBB458801 EQU458801:ERF458801 EGY458801:EHJ458801 DXC458801:DXN458801 DNG458801:DNR458801 DDK458801:DDV458801 CTO458801:CTZ458801 CJS458801:CKD458801 BZW458801:CAH458801 BQA458801:BQL458801 BGE458801:BGP458801 AWI458801:AWT458801 AMM458801:AMX458801 ACQ458801:ADB458801 SU458801:TF458801 IY458801:JJ458801 WVK393265:WVV393265 WLO393265:WLZ393265 WBS393265:WCD393265 VRW393265:VSH393265 VIA393265:VIL393265 UYE393265:UYP393265 UOI393265:UOT393265 UEM393265:UEX393265 TUQ393265:TVB393265 TKU393265:TLF393265 TAY393265:TBJ393265 SRC393265:SRN393265 SHG393265:SHR393265 RXK393265:RXV393265 RNO393265:RNZ393265 RDS393265:RED393265 QTW393265:QUH393265 QKA393265:QKL393265 QAE393265:QAP393265 PQI393265:PQT393265 PGM393265:PGX393265 OWQ393265:OXB393265 OMU393265:ONF393265 OCY393265:ODJ393265 NTC393265:NTN393265 NJG393265:NJR393265 MZK393265:MZV393265 MPO393265:MPZ393265 MFS393265:MGD393265 LVW393265:LWH393265 LMA393265:LML393265 LCE393265:LCP393265 KSI393265:KST393265 KIM393265:KIX393265 JYQ393265:JZB393265 JOU393265:JPF393265 JEY393265:JFJ393265 IVC393265:IVN393265 ILG393265:ILR393265 IBK393265:IBV393265 HRO393265:HRZ393265 HHS393265:HID393265 GXW393265:GYH393265 GOA393265:GOL393265 GEE393265:GEP393265 FUI393265:FUT393265 FKM393265:FKX393265 FAQ393265:FBB393265 EQU393265:ERF393265 EGY393265:EHJ393265 DXC393265:DXN393265 DNG393265:DNR393265 DDK393265:DDV393265 CTO393265:CTZ393265 CJS393265:CKD393265 BZW393265:CAH393265 BQA393265:BQL393265 BGE393265:BGP393265 AWI393265:AWT393265 AMM393265:AMX393265 ACQ393265:ADB393265 SU393265:TF393265 IY393265:JJ393265 WVK327729:WVV327729 WLO327729:WLZ327729 WBS327729:WCD327729 VRW327729:VSH327729 VIA327729:VIL327729 UYE327729:UYP327729 UOI327729:UOT327729 UEM327729:UEX327729 TUQ327729:TVB327729 TKU327729:TLF327729 TAY327729:TBJ327729 SRC327729:SRN327729 SHG327729:SHR327729 RXK327729:RXV327729 RNO327729:RNZ327729 RDS327729:RED327729 QTW327729:QUH327729 QKA327729:QKL327729 QAE327729:QAP327729 PQI327729:PQT327729 PGM327729:PGX327729 OWQ327729:OXB327729 OMU327729:ONF327729 OCY327729:ODJ327729 NTC327729:NTN327729 NJG327729:NJR327729 MZK327729:MZV327729 MPO327729:MPZ327729 MFS327729:MGD327729 LVW327729:LWH327729 LMA327729:LML327729 LCE327729:LCP327729 KSI327729:KST327729 KIM327729:KIX327729 JYQ327729:JZB327729 JOU327729:JPF327729 JEY327729:JFJ327729 IVC327729:IVN327729 ILG327729:ILR327729 IBK327729:IBV327729 HRO327729:HRZ327729 HHS327729:HID327729 GXW327729:GYH327729 GOA327729:GOL327729 GEE327729:GEP327729 FUI327729:FUT327729 FKM327729:FKX327729 FAQ327729:FBB327729 EQU327729:ERF327729 EGY327729:EHJ327729 DXC327729:DXN327729 DNG327729:DNR327729 DDK327729:DDV327729 CTO327729:CTZ327729 CJS327729:CKD327729 BZW327729:CAH327729 BQA327729:BQL327729 BGE327729:BGP327729 AWI327729:AWT327729 AMM327729:AMX327729 ACQ327729:ADB327729 SU327729:TF327729 IY327729:JJ327729 WVK262193:WVV262193 WLO262193:WLZ262193 WBS262193:WCD262193 VRW262193:VSH262193 VIA262193:VIL262193 UYE262193:UYP262193 UOI262193:UOT262193 UEM262193:UEX262193 TUQ262193:TVB262193 TKU262193:TLF262193 TAY262193:TBJ262193 SRC262193:SRN262193 SHG262193:SHR262193 RXK262193:RXV262193 RNO262193:RNZ262193 RDS262193:RED262193 QTW262193:QUH262193 QKA262193:QKL262193 QAE262193:QAP262193 PQI262193:PQT262193 PGM262193:PGX262193 OWQ262193:OXB262193 OMU262193:ONF262193 OCY262193:ODJ262193 NTC262193:NTN262193 NJG262193:NJR262193 MZK262193:MZV262193 MPO262193:MPZ262193 MFS262193:MGD262193 LVW262193:LWH262193 LMA262193:LML262193 LCE262193:LCP262193 KSI262193:KST262193 KIM262193:KIX262193 JYQ262193:JZB262193 JOU262193:JPF262193 JEY262193:JFJ262193 IVC262193:IVN262193 ILG262193:ILR262193 IBK262193:IBV262193 HRO262193:HRZ262193 HHS262193:HID262193 GXW262193:GYH262193 GOA262193:GOL262193 GEE262193:GEP262193 FUI262193:FUT262193 FKM262193:FKX262193 FAQ262193:FBB262193 EQU262193:ERF262193 EGY262193:EHJ262193 DXC262193:DXN262193 DNG262193:DNR262193 DDK262193:DDV262193 CTO262193:CTZ262193 CJS262193:CKD262193 BZW262193:CAH262193 BQA262193:BQL262193 BGE262193:BGP262193 AWI262193:AWT262193 AMM262193:AMX262193 ACQ262193:ADB262193 SU262193:TF262193 IY262193:JJ262193 WVK196657:WVV196657 WLO196657:WLZ196657 WBS196657:WCD196657 VRW196657:VSH196657 VIA196657:VIL196657 UYE196657:UYP196657 UOI196657:UOT196657 UEM196657:UEX196657 TUQ196657:TVB196657 TKU196657:TLF196657 TAY196657:TBJ196657 SRC196657:SRN196657 SHG196657:SHR196657 RXK196657:RXV196657 RNO196657:RNZ196657 RDS196657:RED196657 QTW196657:QUH196657 QKA196657:QKL196657 QAE196657:QAP196657 PQI196657:PQT196657 PGM196657:PGX196657 OWQ196657:OXB196657 OMU196657:ONF196657 OCY196657:ODJ196657 NTC196657:NTN196657 NJG196657:NJR196657 MZK196657:MZV196657 MPO196657:MPZ196657 MFS196657:MGD196657 LVW196657:LWH196657 LMA196657:LML196657 LCE196657:LCP196657 KSI196657:KST196657 KIM196657:KIX196657 JYQ196657:JZB196657 JOU196657:JPF196657 JEY196657:JFJ196657 IVC196657:IVN196657 ILG196657:ILR196657 IBK196657:IBV196657 HRO196657:HRZ196657 HHS196657:HID196657 GXW196657:GYH196657 GOA196657:GOL196657 GEE196657:GEP196657 FUI196657:FUT196657 FKM196657:FKX196657 FAQ196657:FBB196657 EQU196657:ERF196657 EGY196657:EHJ196657 DXC196657:DXN196657 DNG196657:DNR196657 DDK196657:DDV196657 CTO196657:CTZ196657 CJS196657:CKD196657 BZW196657:CAH196657 BQA196657:BQL196657 BGE196657:BGP196657 AWI196657:AWT196657 AMM196657:AMX196657 ACQ196657:ADB196657 SU196657:TF196657 IY196657:JJ196657 WVK131121:WVV131121 WLO131121:WLZ131121 WBS131121:WCD131121 VRW131121:VSH131121 VIA131121:VIL131121 UYE131121:UYP131121 UOI131121:UOT131121 UEM131121:UEX131121 TUQ131121:TVB131121 TKU131121:TLF131121 TAY131121:TBJ131121 SRC131121:SRN131121 SHG131121:SHR131121 RXK131121:RXV131121 RNO131121:RNZ131121 RDS131121:RED131121 QTW131121:QUH131121 QKA131121:QKL131121 QAE131121:QAP131121 PQI131121:PQT131121 PGM131121:PGX131121 OWQ131121:OXB131121 OMU131121:ONF131121 OCY131121:ODJ131121 NTC131121:NTN131121 NJG131121:NJR131121 MZK131121:MZV131121 MPO131121:MPZ131121 MFS131121:MGD131121 LVW131121:LWH131121 LMA131121:LML131121 LCE131121:LCP131121 KSI131121:KST131121 KIM131121:KIX131121 JYQ131121:JZB131121 JOU131121:JPF131121 JEY131121:JFJ131121 IVC131121:IVN131121 ILG131121:ILR131121 IBK131121:IBV131121 HRO131121:HRZ131121 HHS131121:HID131121 GXW131121:GYH131121 GOA131121:GOL131121 GEE131121:GEP131121 FUI131121:FUT131121 FKM131121:FKX131121 FAQ131121:FBB131121 EQU131121:ERF131121 EGY131121:EHJ131121 DXC131121:DXN131121 DNG131121:DNR131121 DDK131121:DDV131121 CTO131121:CTZ131121 CJS131121:CKD131121 BZW131121:CAH131121 BQA131121:BQL131121 BGE131121:BGP131121 AWI131121:AWT131121 AMM131121:AMX131121 ACQ131121:ADB131121 SU131121:TF131121 IY131121:JJ131121 WVK65585:WVV65585 WLO65585:WLZ65585 WBS65585:WCD65585 VRW65585:VSH65585 VIA65585:VIL65585 UYE65585:UYP65585 UOI65585:UOT65585 UEM65585:UEX65585 TUQ65585:TVB65585 TKU65585:TLF65585 TAY65585:TBJ65585 SRC65585:SRN65585 SHG65585:SHR65585 RXK65585:RXV65585 RNO65585:RNZ65585 RDS65585:RED65585 QTW65585:QUH65585 QKA65585:QKL65585 QAE65585:QAP65585 PQI65585:PQT65585 PGM65585:PGX65585 OWQ65585:OXB65585 OMU65585:ONF65585 OCY65585:ODJ65585 NTC65585:NTN65585 NJG65585:NJR65585 MZK65585:MZV65585 MPO65585:MPZ65585 MFS65585:MGD65585 LVW65585:LWH65585 LMA65585:LML65585 LCE65585:LCP65585 KSI65585:KST65585 KIM65585:KIX65585 JYQ65585:JZB65585 JOU65585:JPF65585 JEY65585:JFJ65585 IVC65585:IVN65585 ILG65585:ILR65585 IBK65585:IBV65585 HRO65585:HRZ65585 HHS65585:HID65585 GXW65585:GYH65585 GOA65585:GOL65585 GEE65585:GEP65585 FUI65585:FUT65585 FKM65585:FKX65585 FAQ65585:FBB65585 EQU65585:ERF65585 EGY65585:EHJ65585 DXC65585:DXN65585 DNG65585:DNR65585 DDK65585:DDV65585 CTO65585:CTZ65585 CJS65585:CKD65585 BZW65585:CAH65585 BQA65585:BQL65585 BGE65585:BGP65585 AWI65585:AWT65585 AMM65585:AMX65585 ACQ65585:ADB65585 SU65585:TF65585 IY65585:JJ65585 WVK24:WVV24 WLO24:WLZ24 WBS24:WCD24 VRW24:VSH24 VIA24:VIL24 UYE24:UYP24 UOI24:UOT24 UEM24:UEX24 TUQ24:TVB24 TKU24:TLF24 TAY24:TBJ24 SRC24:SRN24 SHG24:SHR24 RXK24:RXV24 RNO24:RNZ24 RDS24:RED24 QTW24:QUH24 QKA24:QKL24 QAE24:QAP24 PQI24:PQT24 PGM24:PGX24 OWQ24:OXB24 OMU24:ONF24 OCY24:ODJ24 NTC24:NTN24 NJG24:NJR24 MZK24:MZV24 MPO24:MPZ24 MFS24:MGD24 LVW24:LWH24 LMA24:LML24 LCE24:LCP24 KSI24:KST24 KIM24:KIX24 JYQ24:JZB24 JOU24:JPF24 JEY24:JFJ24 IVC24:IVN24 ILG24:ILR24 IBK24:IBV24 HRO24:HRZ24 HHS24:HID24 GXW24:GYH24 GOA24:GOL24 GEE24:GEP24 FUI24:FUT24 FKM24:FKX24 FAQ24:FBB24 EQU24:ERF24 EGY24:EHJ24 DXC24:DXN24 DNG24:DNR24 DDK24:DDV24 CTO24:CTZ24 CJS24:CKD24 BZW24:CAH24 BQA24:BQL24 BGE24:BGP24 AWI24:AWT24 AMM24:AMX24 ACQ24:ADB24 SU24:TF24 IY24:JJ24 WVK983084:WVV983084 WLO983084:WLZ983084 WBS983084:WCD983084 VRW983084:VSH983084 VIA983084:VIL983084 UYE983084:UYP983084 UOI983084:UOT983084 UEM983084:UEX983084 TUQ983084:TVB983084 TKU983084:TLF983084 TAY983084:TBJ983084 SRC983084:SRN983084 SHG983084:SHR983084 RXK983084:RXV983084 RNO983084:RNZ983084 RDS983084:RED983084 QTW983084:QUH983084 QKA983084:QKL983084 QAE983084:QAP983084 PQI983084:PQT983084 PGM983084:PGX983084 OWQ983084:OXB983084 OMU983084:ONF983084 OCY983084:ODJ983084 NTC983084:NTN983084 NJG983084:NJR983084 MZK983084:MZV983084 MPO983084:MPZ983084 MFS983084:MGD983084 LVW983084:LWH983084 LMA983084:LML983084 LCE983084:LCP983084 KSI983084:KST983084 KIM983084:KIX983084 JYQ983084:JZB983084 JOU983084:JPF983084 JEY983084:JFJ983084 IVC983084:IVN983084 ILG983084:ILR983084 IBK983084:IBV983084 HRO983084:HRZ983084 HHS983084:HID983084 GXW983084:GYH983084 GOA983084:GOL983084 GEE983084:GEP983084 FUI983084:FUT983084 FKM983084:FKX983084 FAQ983084:FBB983084 EQU983084:ERF983084 EGY983084:EHJ983084 DXC983084:DXN983084 DNG983084:DNR983084 DDK983084:DDV983084 CTO983084:CTZ983084 CJS983084:CKD983084 BZW983084:CAH983084 BQA983084:BQL983084 BGE983084:BGP983084 AWI983084:AWT983084 AMM983084:AMX983084 ACQ983084:ADB983084 SU983084:TF983084 IY983084:JJ983084 WVK917548:WVV917548 WLO917548:WLZ917548 WBS917548:WCD917548 VRW917548:VSH917548 VIA917548:VIL917548 UYE917548:UYP917548 UOI917548:UOT917548 UEM917548:UEX917548 TUQ917548:TVB917548 TKU917548:TLF917548 TAY917548:TBJ917548 SRC917548:SRN917548 SHG917548:SHR917548 RXK917548:RXV917548 RNO917548:RNZ917548 RDS917548:RED917548 QTW917548:QUH917548 QKA917548:QKL917548 QAE917548:QAP917548 PQI917548:PQT917548 PGM917548:PGX917548 OWQ917548:OXB917548 OMU917548:ONF917548 OCY917548:ODJ917548 NTC917548:NTN917548 NJG917548:NJR917548 MZK917548:MZV917548 MPO917548:MPZ917548 MFS917548:MGD917548 LVW917548:LWH917548 LMA917548:LML917548 LCE917548:LCP917548 KSI917548:KST917548 KIM917548:KIX917548 JYQ917548:JZB917548 JOU917548:JPF917548 JEY917548:JFJ917548 IVC917548:IVN917548 ILG917548:ILR917548 IBK917548:IBV917548 HRO917548:HRZ917548 HHS917548:HID917548 GXW917548:GYH917548 GOA917548:GOL917548 GEE917548:GEP917548 FUI917548:FUT917548 FKM917548:FKX917548 FAQ917548:FBB917548 EQU917548:ERF917548 EGY917548:EHJ917548 DXC917548:DXN917548 DNG917548:DNR917548 DDK917548:DDV917548 CTO917548:CTZ917548 CJS917548:CKD917548 BZW917548:CAH917548 BQA917548:BQL917548 BGE917548:BGP917548 AWI917548:AWT917548 AMM917548:AMX917548 ACQ917548:ADB917548 SU917548:TF917548 IY917548:JJ917548 WVK852012:WVV852012 WLO852012:WLZ852012 WBS852012:WCD852012 VRW852012:VSH852012 VIA852012:VIL852012 UYE852012:UYP852012 UOI852012:UOT852012 UEM852012:UEX852012 TUQ852012:TVB852012 TKU852012:TLF852012 TAY852012:TBJ852012 SRC852012:SRN852012 SHG852012:SHR852012 RXK852012:RXV852012 RNO852012:RNZ852012 RDS852012:RED852012 QTW852012:QUH852012 QKA852012:QKL852012 QAE852012:QAP852012 PQI852012:PQT852012 PGM852012:PGX852012 OWQ852012:OXB852012 OMU852012:ONF852012 OCY852012:ODJ852012 NTC852012:NTN852012 NJG852012:NJR852012 MZK852012:MZV852012 MPO852012:MPZ852012 MFS852012:MGD852012 LVW852012:LWH852012 LMA852012:LML852012 LCE852012:LCP852012 KSI852012:KST852012 KIM852012:KIX852012 JYQ852012:JZB852012 JOU852012:JPF852012 JEY852012:JFJ852012 IVC852012:IVN852012 ILG852012:ILR852012 IBK852012:IBV852012 HRO852012:HRZ852012 HHS852012:HID852012 GXW852012:GYH852012 GOA852012:GOL852012 GEE852012:GEP852012 FUI852012:FUT852012 FKM852012:FKX852012 FAQ852012:FBB852012 EQU852012:ERF852012 EGY852012:EHJ852012 DXC852012:DXN852012 DNG852012:DNR852012 DDK852012:DDV852012 CTO852012:CTZ852012 CJS852012:CKD852012 BZW852012:CAH852012 BQA852012:BQL852012 BGE852012:BGP852012 AWI852012:AWT852012 AMM852012:AMX852012 ACQ852012:ADB852012 SU852012:TF852012 IY852012:JJ852012 WVK786476:WVV786476 WLO786476:WLZ786476 WBS786476:WCD786476 VRW786476:VSH786476 VIA786476:VIL786476 UYE786476:UYP786476 UOI786476:UOT786476 UEM786476:UEX786476 TUQ786476:TVB786476 TKU786476:TLF786476 TAY786476:TBJ786476 SRC786476:SRN786476 SHG786476:SHR786476 RXK786476:RXV786476 RNO786476:RNZ786476 RDS786476:RED786476 QTW786476:QUH786476 QKA786476:QKL786476 QAE786476:QAP786476 PQI786476:PQT786476 PGM786476:PGX786476 OWQ786476:OXB786476 OMU786476:ONF786476 OCY786476:ODJ786476 NTC786476:NTN786476 NJG786476:NJR786476 MZK786476:MZV786476 MPO786476:MPZ786476 MFS786476:MGD786476 LVW786476:LWH786476 LMA786476:LML786476 LCE786476:LCP786476 KSI786476:KST786476 KIM786476:KIX786476 JYQ786476:JZB786476 JOU786476:JPF786476 JEY786476:JFJ786476 IVC786476:IVN786476 ILG786476:ILR786476 IBK786476:IBV786476 HRO786476:HRZ786476 HHS786476:HID786476 GXW786476:GYH786476 GOA786476:GOL786476 GEE786476:GEP786476 FUI786476:FUT786476 FKM786476:FKX786476 FAQ786476:FBB786476 EQU786476:ERF786476 EGY786476:EHJ786476 DXC786476:DXN786476 DNG786476:DNR786476 DDK786476:DDV786476 CTO786476:CTZ786476 CJS786476:CKD786476 BZW786476:CAH786476 BQA786476:BQL786476 BGE786476:BGP786476 AWI786476:AWT786476 AMM786476:AMX786476 ACQ786476:ADB786476 SU786476:TF786476 IY786476:JJ786476 WVK720940:WVV720940 WLO720940:WLZ720940 WBS720940:WCD720940 VRW720940:VSH720940 VIA720940:VIL720940 UYE720940:UYP720940 UOI720940:UOT720940 UEM720940:UEX720940 TUQ720940:TVB720940 TKU720940:TLF720940 TAY720940:TBJ720940 SRC720940:SRN720940 SHG720940:SHR720940 RXK720940:RXV720940 RNO720940:RNZ720940 RDS720940:RED720940 QTW720940:QUH720940 QKA720940:QKL720940 QAE720940:QAP720940 PQI720940:PQT720940 PGM720940:PGX720940 OWQ720940:OXB720940 OMU720940:ONF720940 OCY720940:ODJ720940 NTC720940:NTN720940 NJG720940:NJR720940 MZK720940:MZV720940 MPO720940:MPZ720940 MFS720940:MGD720940 LVW720940:LWH720940 LMA720940:LML720940 LCE720940:LCP720940 KSI720940:KST720940 KIM720940:KIX720940 JYQ720940:JZB720940 JOU720940:JPF720940 JEY720940:JFJ720940 IVC720940:IVN720940 ILG720940:ILR720940 IBK720940:IBV720940 HRO720940:HRZ720940 HHS720940:HID720940 GXW720940:GYH720940 GOA720940:GOL720940 GEE720940:GEP720940 FUI720940:FUT720940 FKM720940:FKX720940 FAQ720940:FBB720940 EQU720940:ERF720940 EGY720940:EHJ720940 DXC720940:DXN720940 DNG720940:DNR720940 DDK720940:DDV720940 CTO720940:CTZ720940 CJS720940:CKD720940 BZW720940:CAH720940 BQA720940:BQL720940 BGE720940:BGP720940 AWI720940:AWT720940 AMM720940:AMX720940 ACQ720940:ADB720940 SU720940:TF720940 IY720940:JJ720940 WVK655404:WVV655404 WLO655404:WLZ655404 WBS655404:WCD655404 VRW655404:VSH655404 VIA655404:VIL655404 UYE655404:UYP655404 UOI655404:UOT655404 UEM655404:UEX655404 TUQ655404:TVB655404 TKU655404:TLF655404 TAY655404:TBJ655404 SRC655404:SRN655404 SHG655404:SHR655404 RXK655404:RXV655404 RNO655404:RNZ655404 RDS655404:RED655404 QTW655404:QUH655404 QKA655404:QKL655404 QAE655404:QAP655404 PQI655404:PQT655404 PGM655404:PGX655404 OWQ655404:OXB655404 OMU655404:ONF655404 OCY655404:ODJ655404 NTC655404:NTN655404 NJG655404:NJR655404 MZK655404:MZV655404 MPO655404:MPZ655404 MFS655404:MGD655404 LVW655404:LWH655404 LMA655404:LML655404 LCE655404:LCP655404 KSI655404:KST655404 KIM655404:KIX655404 JYQ655404:JZB655404 JOU655404:JPF655404 JEY655404:JFJ655404 IVC655404:IVN655404 ILG655404:ILR655404 IBK655404:IBV655404 HRO655404:HRZ655404 HHS655404:HID655404 GXW655404:GYH655404 GOA655404:GOL655404 GEE655404:GEP655404 FUI655404:FUT655404 FKM655404:FKX655404 FAQ655404:FBB655404 EQU655404:ERF655404 EGY655404:EHJ655404 DXC655404:DXN655404 DNG655404:DNR655404 DDK655404:DDV655404 CTO655404:CTZ655404 CJS655404:CKD655404 BZW655404:CAH655404 BQA655404:BQL655404 BGE655404:BGP655404 AWI655404:AWT655404 AMM655404:AMX655404 ACQ655404:ADB655404 SU655404:TF655404 IY655404:JJ655404 WVK589868:WVV589868 WLO589868:WLZ589868 WBS589868:WCD589868 VRW589868:VSH589868 VIA589868:VIL589868 UYE589868:UYP589868 UOI589868:UOT589868 UEM589868:UEX589868 TUQ589868:TVB589868 TKU589868:TLF589868 TAY589868:TBJ589868 SRC589868:SRN589868 SHG589868:SHR589868 RXK589868:RXV589868 RNO589868:RNZ589868 RDS589868:RED589868 QTW589868:QUH589868 QKA589868:QKL589868 QAE589868:QAP589868 PQI589868:PQT589868 PGM589868:PGX589868 OWQ589868:OXB589868 OMU589868:ONF589868 OCY589868:ODJ589868 NTC589868:NTN589868 NJG589868:NJR589868 MZK589868:MZV589868 MPO589868:MPZ589868 MFS589868:MGD589868 LVW589868:LWH589868 LMA589868:LML589868 LCE589868:LCP589868 KSI589868:KST589868 KIM589868:KIX589868 JYQ589868:JZB589868 JOU589868:JPF589868 JEY589868:JFJ589868 IVC589868:IVN589868 ILG589868:ILR589868 IBK589868:IBV589868 HRO589868:HRZ589868 HHS589868:HID589868 GXW589868:GYH589868 GOA589868:GOL589868 GEE589868:GEP589868 FUI589868:FUT589868 FKM589868:FKX589868 FAQ589868:FBB589868 EQU589868:ERF589868 EGY589868:EHJ589868 DXC589868:DXN589868 DNG589868:DNR589868 DDK589868:DDV589868 CTO589868:CTZ589868 CJS589868:CKD589868 BZW589868:CAH589868 BQA589868:BQL589868 BGE589868:BGP589868 AWI589868:AWT589868 AMM589868:AMX589868 ACQ589868:ADB589868 SU589868:TF589868 IY589868:JJ589868 WVK524332:WVV524332 WLO524332:WLZ524332 WBS524332:WCD524332 VRW524332:VSH524332 VIA524332:VIL524332 UYE524332:UYP524332 UOI524332:UOT524332 UEM524332:UEX524332 TUQ524332:TVB524332 TKU524332:TLF524332 TAY524332:TBJ524332 SRC524332:SRN524332 SHG524332:SHR524332 RXK524332:RXV524332 RNO524332:RNZ524332 RDS524332:RED524332 QTW524332:QUH524332 QKA524332:QKL524332 QAE524332:QAP524332 PQI524332:PQT524332 PGM524332:PGX524332 OWQ524332:OXB524332 OMU524332:ONF524332 OCY524332:ODJ524332 NTC524332:NTN524332 NJG524332:NJR524332 MZK524332:MZV524332 MPO524332:MPZ524332 MFS524332:MGD524332 LVW524332:LWH524332 LMA524332:LML524332 LCE524332:LCP524332 KSI524332:KST524332 KIM524332:KIX524332 JYQ524332:JZB524332 JOU524332:JPF524332 JEY524332:JFJ524332 IVC524332:IVN524332 ILG524332:ILR524332 IBK524332:IBV524332 HRO524332:HRZ524332 HHS524332:HID524332 GXW524332:GYH524332 GOA524332:GOL524332 GEE524332:GEP524332 FUI524332:FUT524332 FKM524332:FKX524332 FAQ524332:FBB524332 EQU524332:ERF524332 EGY524332:EHJ524332 DXC524332:DXN524332 DNG524332:DNR524332 DDK524332:DDV524332 CTO524332:CTZ524332 CJS524332:CKD524332 BZW524332:CAH524332 BQA524332:BQL524332 BGE524332:BGP524332 AWI524332:AWT524332 AMM524332:AMX524332 ACQ524332:ADB524332 SU524332:TF524332 IY524332:JJ524332 WVK458796:WVV458796 WLO458796:WLZ458796 WBS458796:WCD458796 VRW458796:VSH458796 VIA458796:VIL458796 UYE458796:UYP458796 UOI458796:UOT458796 UEM458796:UEX458796 TUQ458796:TVB458796 TKU458796:TLF458796 TAY458796:TBJ458796 SRC458796:SRN458796 SHG458796:SHR458796 RXK458796:RXV458796 RNO458796:RNZ458796 RDS458796:RED458796 QTW458796:QUH458796 QKA458796:QKL458796 QAE458796:QAP458796 PQI458796:PQT458796 PGM458796:PGX458796 OWQ458796:OXB458796 OMU458796:ONF458796 OCY458796:ODJ458796 NTC458796:NTN458796 NJG458796:NJR458796 MZK458796:MZV458796 MPO458796:MPZ458796 MFS458796:MGD458796 LVW458796:LWH458796 LMA458796:LML458796 LCE458796:LCP458796 KSI458796:KST458796 KIM458796:KIX458796 JYQ458796:JZB458796 JOU458796:JPF458796 JEY458796:JFJ458796 IVC458796:IVN458796 ILG458796:ILR458796 IBK458796:IBV458796 HRO458796:HRZ458796 HHS458796:HID458796 GXW458796:GYH458796 GOA458796:GOL458796 GEE458796:GEP458796 FUI458796:FUT458796 FKM458796:FKX458796 FAQ458796:FBB458796 EQU458796:ERF458796 EGY458796:EHJ458796 DXC458796:DXN458796 DNG458796:DNR458796 DDK458796:DDV458796 CTO458796:CTZ458796 CJS458796:CKD458796 BZW458796:CAH458796 BQA458796:BQL458796 BGE458796:BGP458796 AWI458796:AWT458796 AMM458796:AMX458796 ACQ458796:ADB458796 SU458796:TF458796 IY458796:JJ458796 WVK393260:WVV393260 WLO393260:WLZ393260 WBS393260:WCD393260 VRW393260:VSH393260 VIA393260:VIL393260 UYE393260:UYP393260 UOI393260:UOT393260 UEM393260:UEX393260 TUQ393260:TVB393260 TKU393260:TLF393260 TAY393260:TBJ393260 SRC393260:SRN393260 SHG393260:SHR393260 RXK393260:RXV393260 RNO393260:RNZ393260 RDS393260:RED393260 QTW393260:QUH393260 QKA393260:QKL393260 QAE393260:QAP393260 PQI393260:PQT393260 PGM393260:PGX393260 OWQ393260:OXB393260 OMU393260:ONF393260 OCY393260:ODJ393260 NTC393260:NTN393260 NJG393260:NJR393260 MZK393260:MZV393260 MPO393260:MPZ393260 MFS393260:MGD393260 LVW393260:LWH393260 LMA393260:LML393260 LCE393260:LCP393260 KSI393260:KST393260 KIM393260:KIX393260 JYQ393260:JZB393260 JOU393260:JPF393260 JEY393260:JFJ393260 IVC393260:IVN393260 ILG393260:ILR393260 IBK393260:IBV393260 HRO393260:HRZ393260 HHS393260:HID393260 GXW393260:GYH393260 GOA393260:GOL393260 GEE393260:GEP393260 FUI393260:FUT393260 FKM393260:FKX393260 FAQ393260:FBB393260 EQU393260:ERF393260 EGY393260:EHJ393260 DXC393260:DXN393260 DNG393260:DNR393260 DDK393260:DDV393260 CTO393260:CTZ393260 CJS393260:CKD393260 BZW393260:CAH393260 BQA393260:BQL393260 BGE393260:BGP393260 AWI393260:AWT393260 AMM393260:AMX393260 ACQ393260:ADB393260 SU393260:TF393260 IY393260:JJ393260 WVK327724:WVV327724 WLO327724:WLZ327724 WBS327724:WCD327724 VRW327724:VSH327724 VIA327724:VIL327724 UYE327724:UYP327724 UOI327724:UOT327724 UEM327724:UEX327724 TUQ327724:TVB327724 TKU327724:TLF327724 TAY327724:TBJ327724 SRC327724:SRN327724 SHG327724:SHR327724 RXK327724:RXV327724 RNO327724:RNZ327724 RDS327724:RED327724 QTW327724:QUH327724 QKA327724:QKL327724 QAE327724:QAP327724 PQI327724:PQT327724 PGM327724:PGX327724 OWQ327724:OXB327724 OMU327724:ONF327724 OCY327724:ODJ327724 NTC327724:NTN327724 NJG327724:NJR327724 MZK327724:MZV327724 MPO327724:MPZ327724 MFS327724:MGD327724 LVW327724:LWH327724 LMA327724:LML327724 LCE327724:LCP327724 KSI327724:KST327724 KIM327724:KIX327724 JYQ327724:JZB327724 JOU327724:JPF327724 JEY327724:JFJ327724 IVC327724:IVN327724 ILG327724:ILR327724 IBK327724:IBV327724 HRO327724:HRZ327724 HHS327724:HID327724 GXW327724:GYH327724 GOA327724:GOL327724 GEE327724:GEP327724 FUI327724:FUT327724 FKM327724:FKX327724 FAQ327724:FBB327724 EQU327724:ERF327724 EGY327724:EHJ327724 DXC327724:DXN327724 DNG327724:DNR327724 DDK327724:DDV327724 CTO327724:CTZ327724 CJS327724:CKD327724 BZW327724:CAH327724 BQA327724:BQL327724 BGE327724:BGP327724 AWI327724:AWT327724 AMM327724:AMX327724 ACQ327724:ADB327724 SU327724:TF327724 IY327724:JJ327724 WVK262188:WVV262188 WLO262188:WLZ262188 WBS262188:WCD262188 VRW262188:VSH262188 VIA262188:VIL262188 UYE262188:UYP262188 UOI262188:UOT262188 UEM262188:UEX262188 TUQ262188:TVB262188 TKU262188:TLF262188 TAY262188:TBJ262188 SRC262188:SRN262188 SHG262188:SHR262188 RXK262188:RXV262188 RNO262188:RNZ262188 RDS262188:RED262188 QTW262188:QUH262188 QKA262188:QKL262188 QAE262188:QAP262188 PQI262188:PQT262188 PGM262188:PGX262188 OWQ262188:OXB262188 OMU262188:ONF262188 OCY262188:ODJ262188 NTC262188:NTN262188 NJG262188:NJR262188 MZK262188:MZV262188 MPO262188:MPZ262188 MFS262188:MGD262188 LVW262188:LWH262188 LMA262188:LML262188 LCE262188:LCP262188 KSI262188:KST262188 KIM262188:KIX262188 JYQ262188:JZB262188 JOU262188:JPF262188 JEY262188:JFJ262188 IVC262188:IVN262188 ILG262188:ILR262188 IBK262188:IBV262188 HRO262188:HRZ262188 HHS262188:HID262188 GXW262188:GYH262188 GOA262188:GOL262188 GEE262188:GEP262188 FUI262188:FUT262188 FKM262188:FKX262188 FAQ262188:FBB262188 EQU262188:ERF262188 EGY262188:EHJ262188 DXC262188:DXN262188 DNG262188:DNR262188 DDK262188:DDV262188 CTO262188:CTZ262188 CJS262188:CKD262188 BZW262188:CAH262188 BQA262188:BQL262188 BGE262188:BGP262188 AWI262188:AWT262188 AMM262188:AMX262188 ACQ262188:ADB262188 SU262188:TF262188 IY262188:JJ262188 WVK196652:WVV196652 WLO196652:WLZ196652 WBS196652:WCD196652 VRW196652:VSH196652 VIA196652:VIL196652 UYE196652:UYP196652 UOI196652:UOT196652 UEM196652:UEX196652 TUQ196652:TVB196652 TKU196652:TLF196652 TAY196652:TBJ196652 SRC196652:SRN196652 SHG196652:SHR196652 RXK196652:RXV196652 RNO196652:RNZ196652 RDS196652:RED196652 QTW196652:QUH196652 QKA196652:QKL196652 QAE196652:QAP196652 PQI196652:PQT196652 PGM196652:PGX196652 OWQ196652:OXB196652 OMU196652:ONF196652 OCY196652:ODJ196652 NTC196652:NTN196652 NJG196652:NJR196652 MZK196652:MZV196652 MPO196652:MPZ196652 MFS196652:MGD196652 LVW196652:LWH196652 LMA196652:LML196652 LCE196652:LCP196652 KSI196652:KST196652 KIM196652:KIX196652 JYQ196652:JZB196652 JOU196652:JPF196652 JEY196652:JFJ196652 IVC196652:IVN196652 ILG196652:ILR196652 IBK196652:IBV196652 HRO196652:HRZ196652 HHS196652:HID196652 GXW196652:GYH196652 GOA196652:GOL196652 GEE196652:GEP196652 FUI196652:FUT196652 FKM196652:FKX196652 FAQ196652:FBB196652 EQU196652:ERF196652 EGY196652:EHJ196652 DXC196652:DXN196652 DNG196652:DNR196652 DDK196652:DDV196652 CTO196652:CTZ196652 CJS196652:CKD196652 BZW196652:CAH196652 BQA196652:BQL196652 BGE196652:BGP196652 AWI196652:AWT196652 AMM196652:AMX196652 ACQ196652:ADB196652 SU196652:TF196652 IY196652:JJ196652 WVK131116:WVV131116 WLO131116:WLZ131116 WBS131116:WCD131116 VRW131116:VSH131116 VIA131116:VIL131116 UYE131116:UYP131116 UOI131116:UOT131116 UEM131116:UEX131116 TUQ131116:TVB131116 TKU131116:TLF131116 TAY131116:TBJ131116 SRC131116:SRN131116 SHG131116:SHR131116 RXK131116:RXV131116 RNO131116:RNZ131116 RDS131116:RED131116 QTW131116:QUH131116 QKA131116:QKL131116 QAE131116:QAP131116 PQI131116:PQT131116 PGM131116:PGX131116 OWQ131116:OXB131116 OMU131116:ONF131116 OCY131116:ODJ131116 NTC131116:NTN131116 NJG131116:NJR131116 MZK131116:MZV131116 MPO131116:MPZ131116 MFS131116:MGD131116 LVW131116:LWH131116 LMA131116:LML131116 LCE131116:LCP131116 KSI131116:KST131116 KIM131116:KIX131116 JYQ131116:JZB131116 JOU131116:JPF131116 JEY131116:JFJ131116 IVC131116:IVN131116 ILG131116:ILR131116 IBK131116:IBV131116 HRO131116:HRZ131116 HHS131116:HID131116 GXW131116:GYH131116 GOA131116:GOL131116 GEE131116:GEP131116 FUI131116:FUT131116 FKM131116:FKX131116 FAQ131116:FBB131116 EQU131116:ERF131116 EGY131116:EHJ131116 DXC131116:DXN131116 DNG131116:DNR131116 DDK131116:DDV131116 CTO131116:CTZ131116 CJS131116:CKD131116 BZW131116:CAH131116 BQA131116:BQL131116 BGE131116:BGP131116 AWI131116:AWT131116 AMM131116:AMX131116 ACQ131116:ADB131116 SU131116:TF131116 IY131116:JJ131116 WVK65580:WVV65580 WLO65580:WLZ65580 WBS65580:WCD65580 VRW65580:VSH65580 VIA65580:VIL65580 UYE65580:UYP65580 UOI65580:UOT65580 UEM65580:UEX65580 TUQ65580:TVB65580 TKU65580:TLF65580 TAY65580:TBJ65580 SRC65580:SRN65580 SHG65580:SHR65580 RXK65580:RXV65580 RNO65580:RNZ65580 RDS65580:RED65580 QTW65580:QUH65580 QKA65580:QKL65580 QAE65580:QAP65580 PQI65580:PQT65580 PGM65580:PGX65580 OWQ65580:OXB65580 OMU65580:ONF65580 OCY65580:ODJ65580 NTC65580:NTN65580 NJG65580:NJR65580 MZK65580:MZV65580 MPO65580:MPZ65580 MFS65580:MGD65580 LVW65580:LWH65580 LMA65580:LML65580 LCE65580:LCP65580 KSI65580:KST65580 KIM65580:KIX65580 JYQ65580:JZB65580 JOU65580:JPF65580 JEY65580:JFJ65580 IVC65580:IVN65580 ILG65580:ILR65580 IBK65580:IBV65580 HRO65580:HRZ65580 HHS65580:HID65580 GXW65580:GYH65580 GOA65580:GOL65580 GEE65580:GEP65580 FUI65580:FUT65580 FKM65580:FKX65580 FAQ65580:FBB65580 EQU65580:ERF65580 EGY65580:EHJ65580 DXC65580:DXN65580 DNG65580:DNR65580 DDK65580:DDV65580 CTO65580:CTZ65580 CJS65580:CKD65580 BZW65580:CAH65580 BQA65580:BQL65580 BGE65580:BGP65580 AWI65580:AWT65580 AMM65580:AMX65580 ACQ65580:ADB65580 SU65580:TF65580 IY65580:JJ65580 WVK19:WVV19 WLO19:WLZ19 WBS19:WCD19 VRW19:VSH19 VIA19:VIL19 UYE19:UYP19 UOI19:UOT19 UEM19:UEX19 TUQ19:TVB19 TKU19:TLF19 TAY19:TBJ19 SRC19:SRN19 SHG19:SHR19 RXK19:RXV19 RNO19:RNZ19 RDS19:RED19 QTW19:QUH19 QKA19:QKL19 QAE19:QAP19 PQI19:PQT19 PGM19:PGX19 OWQ19:OXB19 OMU19:ONF19 OCY19:ODJ19 NTC19:NTN19 NJG19:NJR19 MZK19:MZV19 MPO19:MPZ19 MFS19:MGD19 LVW19:LWH19 LMA19:LML19 LCE19:LCP19 KSI19:KST19 KIM19:KIX19 JYQ19:JZB19 JOU19:JPF19 JEY19:JFJ19 IVC19:IVN19 ILG19:ILR19 IBK19:IBV19 HRO19:HRZ19 HHS19:HID19 GXW19:GYH19 GOA19:GOL19 GEE19:GEP19 FUI19:FUT19 FKM19:FKX19 FAQ19:FBB19 EQU19:ERF19 EGY19:EHJ19 DXC19:DXN19 DNG19:DNR19 DDK19:DDV19 CTO19:CTZ19 CJS19:CKD19 BZW19:CAH19 BQA19:BQL19 BGE19:BGP19 AWI19:AWT19 AMM19:AMX19 ACQ19:ADB19 SU19:TF19 IY19:JJ19 WVK983165:WVV983165 WLO983165:WLZ983165 WBS983165:WCD983165 VRW983165:VSH983165 VIA983165:VIL983165 UYE983165:UYP983165 UOI983165:UOT983165 UEM983165:UEX983165 TUQ983165:TVB983165 TKU983165:TLF983165 TAY983165:TBJ983165 SRC983165:SRN983165 SHG983165:SHR983165 RXK983165:RXV983165 RNO983165:RNZ983165 RDS983165:RED983165 QTW983165:QUH983165 QKA983165:QKL983165 QAE983165:QAP983165 PQI983165:PQT983165 PGM983165:PGX983165 OWQ983165:OXB983165 OMU983165:ONF983165 OCY983165:ODJ983165 NTC983165:NTN983165 NJG983165:NJR983165 MZK983165:MZV983165 MPO983165:MPZ983165 MFS983165:MGD983165 LVW983165:LWH983165 LMA983165:LML983165 LCE983165:LCP983165 KSI983165:KST983165 KIM983165:KIX983165 JYQ983165:JZB983165 JOU983165:JPF983165 JEY983165:JFJ983165 IVC983165:IVN983165 ILG983165:ILR983165 IBK983165:IBV983165 HRO983165:HRZ983165 HHS983165:HID983165 GXW983165:GYH983165 GOA983165:GOL983165 GEE983165:GEP983165 FUI983165:FUT983165 FKM983165:FKX983165 FAQ983165:FBB983165 EQU983165:ERF983165 EGY983165:EHJ983165 DXC983165:DXN983165 DNG983165:DNR983165 DDK983165:DDV983165 CTO983165:CTZ983165 CJS983165:CKD983165 BZW983165:CAH983165 BQA983165:BQL983165 BGE983165:BGP983165 AWI983165:AWT983165 AMM983165:AMX983165 ACQ983165:ADB983165 SU983165:TF983165 IY983165:JJ983165 WVK917629:WVV917629 WLO917629:WLZ917629 WBS917629:WCD917629 VRW917629:VSH917629 VIA917629:VIL917629 UYE917629:UYP917629 UOI917629:UOT917629 UEM917629:UEX917629 TUQ917629:TVB917629 TKU917629:TLF917629 TAY917629:TBJ917629 SRC917629:SRN917629 SHG917629:SHR917629 RXK917629:RXV917629 RNO917629:RNZ917629 RDS917629:RED917629 QTW917629:QUH917629 QKA917629:QKL917629 QAE917629:QAP917629 PQI917629:PQT917629 PGM917629:PGX917629 OWQ917629:OXB917629 OMU917629:ONF917629 OCY917629:ODJ917629 NTC917629:NTN917629 NJG917629:NJR917629 MZK917629:MZV917629 MPO917629:MPZ917629 MFS917629:MGD917629 LVW917629:LWH917629 LMA917629:LML917629 LCE917629:LCP917629 KSI917629:KST917629 KIM917629:KIX917629 JYQ917629:JZB917629 JOU917629:JPF917629 JEY917629:JFJ917629 IVC917629:IVN917629 ILG917629:ILR917629 IBK917629:IBV917629 HRO917629:HRZ917629 HHS917629:HID917629 GXW917629:GYH917629 GOA917629:GOL917629 GEE917629:GEP917629 FUI917629:FUT917629 FKM917629:FKX917629 FAQ917629:FBB917629 EQU917629:ERF917629 EGY917629:EHJ917629 DXC917629:DXN917629 DNG917629:DNR917629 DDK917629:DDV917629 CTO917629:CTZ917629 CJS917629:CKD917629 BZW917629:CAH917629 BQA917629:BQL917629 BGE917629:BGP917629 AWI917629:AWT917629 AMM917629:AMX917629 ACQ917629:ADB917629 SU917629:TF917629 IY917629:JJ917629 WVK852093:WVV852093 WLO852093:WLZ852093 WBS852093:WCD852093 VRW852093:VSH852093 VIA852093:VIL852093 UYE852093:UYP852093 UOI852093:UOT852093 UEM852093:UEX852093 TUQ852093:TVB852093 TKU852093:TLF852093 TAY852093:TBJ852093 SRC852093:SRN852093 SHG852093:SHR852093 RXK852093:RXV852093 RNO852093:RNZ852093 RDS852093:RED852093 QTW852093:QUH852093 QKA852093:QKL852093 QAE852093:QAP852093 PQI852093:PQT852093 PGM852093:PGX852093 OWQ852093:OXB852093 OMU852093:ONF852093 OCY852093:ODJ852093 NTC852093:NTN852093 NJG852093:NJR852093 MZK852093:MZV852093 MPO852093:MPZ852093 MFS852093:MGD852093 LVW852093:LWH852093 LMA852093:LML852093 LCE852093:LCP852093 KSI852093:KST852093 KIM852093:KIX852093 JYQ852093:JZB852093 JOU852093:JPF852093 JEY852093:JFJ852093 IVC852093:IVN852093 ILG852093:ILR852093 IBK852093:IBV852093 HRO852093:HRZ852093 HHS852093:HID852093 GXW852093:GYH852093 GOA852093:GOL852093 GEE852093:GEP852093 FUI852093:FUT852093 FKM852093:FKX852093 FAQ852093:FBB852093 EQU852093:ERF852093 EGY852093:EHJ852093 DXC852093:DXN852093 DNG852093:DNR852093 DDK852093:DDV852093 CTO852093:CTZ852093 CJS852093:CKD852093 BZW852093:CAH852093 BQA852093:BQL852093 BGE852093:BGP852093 AWI852093:AWT852093 AMM852093:AMX852093 ACQ852093:ADB852093 SU852093:TF852093 IY852093:JJ852093 WVK786557:WVV786557 WLO786557:WLZ786557 WBS786557:WCD786557 VRW786557:VSH786557 VIA786557:VIL786557 UYE786557:UYP786557 UOI786557:UOT786557 UEM786557:UEX786557 TUQ786557:TVB786557 TKU786557:TLF786557 TAY786557:TBJ786557 SRC786557:SRN786557 SHG786557:SHR786557 RXK786557:RXV786557 RNO786557:RNZ786557 RDS786557:RED786557 QTW786557:QUH786557 QKA786557:QKL786557 QAE786557:QAP786557 PQI786557:PQT786557 PGM786557:PGX786557 OWQ786557:OXB786557 OMU786557:ONF786557 OCY786557:ODJ786557 NTC786557:NTN786557 NJG786557:NJR786557 MZK786557:MZV786557 MPO786557:MPZ786557 MFS786557:MGD786557 LVW786557:LWH786557 LMA786557:LML786557 LCE786557:LCP786557 KSI786557:KST786557 KIM786557:KIX786557 JYQ786557:JZB786557 JOU786557:JPF786557 JEY786557:JFJ786557 IVC786557:IVN786557 ILG786557:ILR786557 IBK786557:IBV786557 HRO786557:HRZ786557 HHS786557:HID786557 GXW786557:GYH786557 GOA786557:GOL786557 GEE786557:GEP786557 FUI786557:FUT786557 FKM786557:FKX786557 FAQ786557:FBB786557 EQU786557:ERF786557 EGY786557:EHJ786557 DXC786557:DXN786557 DNG786557:DNR786557 DDK786557:DDV786557 CTO786557:CTZ786557 CJS786557:CKD786557 BZW786557:CAH786557 BQA786557:BQL786557 BGE786557:BGP786557 AWI786557:AWT786557 AMM786557:AMX786557 ACQ786557:ADB786557 SU786557:TF786557 IY786557:JJ786557 WVK721021:WVV721021 WLO721021:WLZ721021 WBS721021:WCD721021 VRW721021:VSH721021 VIA721021:VIL721021 UYE721021:UYP721021 UOI721021:UOT721021 UEM721021:UEX721021 TUQ721021:TVB721021 TKU721021:TLF721021 TAY721021:TBJ721021 SRC721021:SRN721021 SHG721021:SHR721021 RXK721021:RXV721021 RNO721021:RNZ721021 RDS721021:RED721021 QTW721021:QUH721021 QKA721021:QKL721021 QAE721021:QAP721021 PQI721021:PQT721021 PGM721021:PGX721021 OWQ721021:OXB721021 OMU721021:ONF721021 OCY721021:ODJ721021 NTC721021:NTN721021 NJG721021:NJR721021 MZK721021:MZV721021 MPO721021:MPZ721021 MFS721021:MGD721021 LVW721021:LWH721021 LMA721021:LML721021 LCE721021:LCP721021 KSI721021:KST721021 KIM721021:KIX721021 JYQ721021:JZB721021 JOU721021:JPF721021 JEY721021:JFJ721021 IVC721021:IVN721021 ILG721021:ILR721021 IBK721021:IBV721021 HRO721021:HRZ721021 HHS721021:HID721021 GXW721021:GYH721021 GOA721021:GOL721021 GEE721021:GEP721021 FUI721021:FUT721021 FKM721021:FKX721021 FAQ721021:FBB721021 EQU721021:ERF721021 EGY721021:EHJ721021 DXC721021:DXN721021 DNG721021:DNR721021 DDK721021:DDV721021 CTO721021:CTZ721021 CJS721021:CKD721021 BZW721021:CAH721021 BQA721021:BQL721021 BGE721021:BGP721021 AWI721021:AWT721021 AMM721021:AMX721021 ACQ721021:ADB721021 SU721021:TF721021 IY721021:JJ721021 WVK655485:WVV655485 WLO655485:WLZ655485 WBS655485:WCD655485 VRW655485:VSH655485 VIA655485:VIL655485 UYE655485:UYP655485 UOI655485:UOT655485 UEM655485:UEX655485 TUQ655485:TVB655485 TKU655485:TLF655485 TAY655485:TBJ655485 SRC655485:SRN655485 SHG655485:SHR655485 RXK655485:RXV655485 RNO655485:RNZ655485 RDS655485:RED655485 QTW655485:QUH655485 QKA655485:QKL655485 QAE655485:QAP655485 PQI655485:PQT655485 PGM655485:PGX655485 OWQ655485:OXB655485 OMU655485:ONF655485 OCY655485:ODJ655485 NTC655485:NTN655485 NJG655485:NJR655485 MZK655485:MZV655485 MPO655485:MPZ655485 MFS655485:MGD655485 LVW655485:LWH655485 LMA655485:LML655485 LCE655485:LCP655485 KSI655485:KST655485 KIM655485:KIX655485 JYQ655485:JZB655485 JOU655485:JPF655485 JEY655485:JFJ655485 IVC655485:IVN655485 ILG655485:ILR655485 IBK655485:IBV655485 HRO655485:HRZ655485 HHS655485:HID655485 GXW655485:GYH655485 GOA655485:GOL655485 GEE655485:GEP655485 FUI655485:FUT655485 FKM655485:FKX655485 FAQ655485:FBB655485 EQU655485:ERF655485 EGY655485:EHJ655485 DXC655485:DXN655485 DNG655485:DNR655485 DDK655485:DDV655485 CTO655485:CTZ655485 CJS655485:CKD655485 BZW655485:CAH655485 BQA655485:BQL655485 BGE655485:BGP655485 AWI655485:AWT655485 AMM655485:AMX655485 ACQ655485:ADB655485 SU655485:TF655485 IY655485:JJ655485 WVK589949:WVV589949 WLO589949:WLZ589949 WBS589949:WCD589949 VRW589949:VSH589949 VIA589949:VIL589949 UYE589949:UYP589949 UOI589949:UOT589949 UEM589949:UEX589949 TUQ589949:TVB589949 TKU589949:TLF589949 TAY589949:TBJ589949 SRC589949:SRN589949 SHG589949:SHR589949 RXK589949:RXV589949 RNO589949:RNZ589949 RDS589949:RED589949 QTW589949:QUH589949 QKA589949:QKL589949 QAE589949:QAP589949 PQI589949:PQT589949 PGM589949:PGX589949 OWQ589949:OXB589949 OMU589949:ONF589949 OCY589949:ODJ589949 NTC589949:NTN589949 NJG589949:NJR589949 MZK589949:MZV589949 MPO589949:MPZ589949 MFS589949:MGD589949 LVW589949:LWH589949 LMA589949:LML589949 LCE589949:LCP589949 KSI589949:KST589949 KIM589949:KIX589949 JYQ589949:JZB589949 JOU589949:JPF589949 JEY589949:JFJ589949 IVC589949:IVN589949 ILG589949:ILR589949 IBK589949:IBV589949 HRO589949:HRZ589949 HHS589949:HID589949 GXW589949:GYH589949 GOA589949:GOL589949 GEE589949:GEP589949 FUI589949:FUT589949 FKM589949:FKX589949 FAQ589949:FBB589949 EQU589949:ERF589949 EGY589949:EHJ589949 DXC589949:DXN589949 DNG589949:DNR589949 DDK589949:DDV589949 CTO589949:CTZ589949 CJS589949:CKD589949 BZW589949:CAH589949 BQA589949:BQL589949 BGE589949:BGP589949 AWI589949:AWT589949 AMM589949:AMX589949 ACQ589949:ADB589949 SU589949:TF589949 IY589949:JJ589949 WVK524413:WVV524413 WLO524413:WLZ524413 WBS524413:WCD524413 VRW524413:VSH524413 VIA524413:VIL524413 UYE524413:UYP524413 UOI524413:UOT524413 UEM524413:UEX524413 TUQ524413:TVB524413 TKU524413:TLF524413 TAY524413:TBJ524413 SRC524413:SRN524413 SHG524413:SHR524413 RXK524413:RXV524413 RNO524413:RNZ524413 RDS524413:RED524413 QTW524413:QUH524413 QKA524413:QKL524413 QAE524413:QAP524413 PQI524413:PQT524413 PGM524413:PGX524413 OWQ524413:OXB524413 OMU524413:ONF524413 OCY524413:ODJ524413 NTC524413:NTN524413 NJG524413:NJR524413 MZK524413:MZV524413 MPO524413:MPZ524413 MFS524413:MGD524413 LVW524413:LWH524413 LMA524413:LML524413 LCE524413:LCP524413 KSI524413:KST524413 KIM524413:KIX524413 JYQ524413:JZB524413 JOU524413:JPF524413 JEY524413:JFJ524413 IVC524413:IVN524413 ILG524413:ILR524413 IBK524413:IBV524413 HRO524413:HRZ524413 HHS524413:HID524413 GXW524413:GYH524413 GOA524413:GOL524413 GEE524413:GEP524413 FUI524413:FUT524413 FKM524413:FKX524413 FAQ524413:FBB524413 EQU524413:ERF524413 EGY524413:EHJ524413 DXC524413:DXN524413 DNG524413:DNR524413 DDK524413:DDV524413 CTO524413:CTZ524413 CJS524413:CKD524413 BZW524413:CAH524413 BQA524413:BQL524413 BGE524413:BGP524413 AWI524413:AWT524413 AMM524413:AMX524413 ACQ524413:ADB524413 SU524413:TF524413 IY524413:JJ524413 WVK458877:WVV458877 WLO458877:WLZ458877 WBS458877:WCD458877 VRW458877:VSH458877 VIA458877:VIL458877 UYE458877:UYP458877 UOI458877:UOT458877 UEM458877:UEX458877 TUQ458877:TVB458877 TKU458877:TLF458877 TAY458877:TBJ458877 SRC458877:SRN458877 SHG458877:SHR458877 RXK458877:RXV458877 RNO458877:RNZ458877 RDS458877:RED458877 QTW458877:QUH458877 QKA458877:QKL458877 QAE458877:QAP458877 PQI458877:PQT458877 PGM458877:PGX458877 OWQ458877:OXB458877 OMU458877:ONF458877 OCY458877:ODJ458877 NTC458877:NTN458877 NJG458877:NJR458877 MZK458877:MZV458877 MPO458877:MPZ458877 MFS458877:MGD458877 LVW458877:LWH458877 LMA458877:LML458877 LCE458877:LCP458877 KSI458877:KST458877 KIM458877:KIX458877 JYQ458877:JZB458877 JOU458877:JPF458877 JEY458877:JFJ458877 IVC458877:IVN458877 ILG458877:ILR458877 IBK458877:IBV458877 HRO458877:HRZ458877 HHS458877:HID458877 GXW458877:GYH458877 GOA458877:GOL458877 GEE458877:GEP458877 FUI458877:FUT458877 FKM458877:FKX458877 FAQ458877:FBB458877 EQU458877:ERF458877 EGY458877:EHJ458877 DXC458877:DXN458877 DNG458877:DNR458877 DDK458877:DDV458877 CTO458877:CTZ458877 CJS458877:CKD458877 BZW458877:CAH458877 BQA458877:BQL458877 BGE458877:BGP458877 AWI458877:AWT458877 AMM458877:AMX458877 ACQ458877:ADB458877 SU458877:TF458877 IY458877:JJ458877 WVK393341:WVV393341 WLO393341:WLZ393341 WBS393341:WCD393341 VRW393341:VSH393341 VIA393341:VIL393341 UYE393341:UYP393341 UOI393341:UOT393341 UEM393341:UEX393341 TUQ393341:TVB393341 TKU393341:TLF393341 TAY393341:TBJ393341 SRC393341:SRN393341 SHG393341:SHR393341 RXK393341:RXV393341 RNO393341:RNZ393341 RDS393341:RED393341 QTW393341:QUH393341 QKA393341:QKL393341 QAE393341:QAP393341 PQI393341:PQT393341 PGM393341:PGX393341 OWQ393341:OXB393341 OMU393341:ONF393341 OCY393341:ODJ393341 NTC393341:NTN393341 NJG393341:NJR393341 MZK393341:MZV393341 MPO393341:MPZ393341 MFS393341:MGD393341 LVW393341:LWH393341 LMA393341:LML393341 LCE393341:LCP393341 KSI393341:KST393341 KIM393341:KIX393341 JYQ393341:JZB393341 JOU393341:JPF393341 JEY393341:JFJ393341 IVC393341:IVN393341 ILG393341:ILR393341 IBK393341:IBV393341 HRO393341:HRZ393341 HHS393341:HID393341 GXW393341:GYH393341 GOA393341:GOL393341 GEE393341:GEP393341 FUI393341:FUT393341 FKM393341:FKX393341 FAQ393341:FBB393341 EQU393341:ERF393341 EGY393341:EHJ393341 DXC393341:DXN393341 DNG393341:DNR393341 DDK393341:DDV393341 CTO393341:CTZ393341 CJS393341:CKD393341 BZW393341:CAH393341 BQA393341:BQL393341 BGE393341:BGP393341 AWI393341:AWT393341 AMM393341:AMX393341 ACQ393341:ADB393341 SU393341:TF393341 IY393341:JJ393341 WVK327805:WVV327805 WLO327805:WLZ327805 WBS327805:WCD327805 VRW327805:VSH327805 VIA327805:VIL327805 UYE327805:UYP327805 UOI327805:UOT327805 UEM327805:UEX327805 TUQ327805:TVB327805 TKU327805:TLF327805 TAY327805:TBJ327805 SRC327805:SRN327805 SHG327805:SHR327805 RXK327805:RXV327805 RNO327805:RNZ327805 RDS327805:RED327805 QTW327805:QUH327805 QKA327805:QKL327805 QAE327805:QAP327805 PQI327805:PQT327805 PGM327805:PGX327805 OWQ327805:OXB327805 OMU327805:ONF327805 OCY327805:ODJ327805 NTC327805:NTN327805 NJG327805:NJR327805 MZK327805:MZV327805 MPO327805:MPZ327805 MFS327805:MGD327805 LVW327805:LWH327805 LMA327805:LML327805 LCE327805:LCP327805 KSI327805:KST327805 KIM327805:KIX327805 JYQ327805:JZB327805 JOU327805:JPF327805 JEY327805:JFJ327805 IVC327805:IVN327805 ILG327805:ILR327805 IBK327805:IBV327805 HRO327805:HRZ327805 HHS327805:HID327805 GXW327805:GYH327805 GOA327805:GOL327805 GEE327805:GEP327805 FUI327805:FUT327805 FKM327805:FKX327805 FAQ327805:FBB327805 EQU327805:ERF327805 EGY327805:EHJ327805 DXC327805:DXN327805 DNG327805:DNR327805 DDK327805:DDV327805 CTO327805:CTZ327805 CJS327805:CKD327805 BZW327805:CAH327805 BQA327805:BQL327805 BGE327805:BGP327805 AWI327805:AWT327805 AMM327805:AMX327805 ACQ327805:ADB327805 SU327805:TF327805 IY327805:JJ327805 WVK262269:WVV262269 WLO262269:WLZ262269 WBS262269:WCD262269 VRW262269:VSH262269 VIA262269:VIL262269 UYE262269:UYP262269 UOI262269:UOT262269 UEM262269:UEX262269 TUQ262269:TVB262269 TKU262269:TLF262269 TAY262269:TBJ262269 SRC262269:SRN262269 SHG262269:SHR262269 RXK262269:RXV262269 RNO262269:RNZ262269 RDS262269:RED262269 QTW262269:QUH262269 QKA262269:QKL262269 QAE262269:QAP262269 PQI262269:PQT262269 PGM262269:PGX262269 OWQ262269:OXB262269 OMU262269:ONF262269 OCY262269:ODJ262269 NTC262269:NTN262269 NJG262269:NJR262269 MZK262269:MZV262269 MPO262269:MPZ262269 MFS262269:MGD262269 LVW262269:LWH262269 LMA262269:LML262269 LCE262269:LCP262269 KSI262269:KST262269 KIM262269:KIX262269 JYQ262269:JZB262269 JOU262269:JPF262269 JEY262269:JFJ262269 IVC262269:IVN262269 ILG262269:ILR262269 IBK262269:IBV262269 HRO262269:HRZ262269 HHS262269:HID262269 GXW262269:GYH262269 GOA262269:GOL262269 GEE262269:GEP262269 FUI262269:FUT262269 FKM262269:FKX262269 FAQ262269:FBB262269 EQU262269:ERF262269 EGY262269:EHJ262269 DXC262269:DXN262269 DNG262269:DNR262269 DDK262269:DDV262269 CTO262269:CTZ262269 CJS262269:CKD262269 BZW262269:CAH262269 BQA262269:BQL262269 BGE262269:BGP262269 AWI262269:AWT262269 AMM262269:AMX262269 ACQ262269:ADB262269 SU262269:TF262269 IY262269:JJ262269 WVK196733:WVV196733 WLO196733:WLZ196733 WBS196733:WCD196733 VRW196733:VSH196733 VIA196733:VIL196733 UYE196733:UYP196733 UOI196733:UOT196733 UEM196733:UEX196733 TUQ196733:TVB196733 TKU196733:TLF196733 TAY196733:TBJ196733 SRC196733:SRN196733 SHG196733:SHR196733 RXK196733:RXV196733 RNO196733:RNZ196733 RDS196733:RED196733 QTW196733:QUH196733 QKA196733:QKL196733 QAE196733:QAP196733 PQI196733:PQT196733 PGM196733:PGX196733 OWQ196733:OXB196733 OMU196733:ONF196733 OCY196733:ODJ196733 NTC196733:NTN196733 NJG196733:NJR196733 MZK196733:MZV196733 MPO196733:MPZ196733 MFS196733:MGD196733 LVW196733:LWH196733 LMA196733:LML196733 LCE196733:LCP196733 KSI196733:KST196733 KIM196733:KIX196733 JYQ196733:JZB196733 JOU196733:JPF196733 JEY196733:JFJ196733 IVC196733:IVN196733 ILG196733:ILR196733 IBK196733:IBV196733 HRO196733:HRZ196733 HHS196733:HID196733 GXW196733:GYH196733 GOA196733:GOL196733 GEE196733:GEP196733 FUI196733:FUT196733 FKM196733:FKX196733 FAQ196733:FBB196733 EQU196733:ERF196733 EGY196733:EHJ196733 DXC196733:DXN196733 DNG196733:DNR196733 DDK196733:DDV196733 CTO196733:CTZ196733 CJS196733:CKD196733 BZW196733:CAH196733 BQA196733:BQL196733 BGE196733:BGP196733 AWI196733:AWT196733 AMM196733:AMX196733 ACQ196733:ADB196733 SU196733:TF196733 IY196733:JJ196733 WVK131197:WVV131197 WLO131197:WLZ131197 WBS131197:WCD131197 VRW131197:VSH131197 VIA131197:VIL131197 UYE131197:UYP131197 UOI131197:UOT131197 UEM131197:UEX131197 TUQ131197:TVB131197 TKU131197:TLF131197 TAY131197:TBJ131197 SRC131197:SRN131197 SHG131197:SHR131197 RXK131197:RXV131197 RNO131197:RNZ131197 RDS131197:RED131197 QTW131197:QUH131197 QKA131197:QKL131197 QAE131197:QAP131197 PQI131197:PQT131197 PGM131197:PGX131197 OWQ131197:OXB131197 OMU131197:ONF131197 OCY131197:ODJ131197 NTC131197:NTN131197 NJG131197:NJR131197 MZK131197:MZV131197 MPO131197:MPZ131197 MFS131197:MGD131197 LVW131197:LWH131197 LMA131197:LML131197 LCE131197:LCP131197 KSI131197:KST131197 KIM131197:KIX131197 JYQ131197:JZB131197 JOU131197:JPF131197 JEY131197:JFJ131197 IVC131197:IVN131197 ILG131197:ILR131197 IBK131197:IBV131197 HRO131197:HRZ131197 HHS131197:HID131197 GXW131197:GYH131197 GOA131197:GOL131197 GEE131197:GEP131197 FUI131197:FUT131197 FKM131197:FKX131197 FAQ131197:FBB131197 EQU131197:ERF131197 EGY131197:EHJ131197 DXC131197:DXN131197 DNG131197:DNR131197 DDK131197:DDV131197 CTO131197:CTZ131197 CJS131197:CKD131197 BZW131197:CAH131197 BQA131197:BQL131197 BGE131197:BGP131197 AWI131197:AWT131197 AMM131197:AMX131197 ACQ131197:ADB131197 SU131197:TF131197 IY131197:JJ131197 WVK65661:WVV65661 WLO65661:WLZ65661 WBS65661:WCD65661 VRW65661:VSH65661 VIA65661:VIL65661 UYE65661:UYP65661 UOI65661:UOT65661 UEM65661:UEX65661 TUQ65661:TVB65661 TKU65661:TLF65661 TAY65661:TBJ65661 SRC65661:SRN65661 SHG65661:SHR65661 RXK65661:RXV65661 RNO65661:RNZ65661 RDS65661:RED65661 QTW65661:QUH65661 QKA65661:QKL65661 QAE65661:QAP65661 PQI65661:PQT65661 PGM65661:PGX65661 OWQ65661:OXB65661 OMU65661:ONF65661 OCY65661:ODJ65661 NTC65661:NTN65661 NJG65661:NJR65661 MZK65661:MZV65661 MPO65661:MPZ65661 MFS65661:MGD65661 LVW65661:LWH65661 LMA65661:LML65661 LCE65661:LCP65661 KSI65661:KST65661 KIM65661:KIX65661 JYQ65661:JZB65661 JOU65661:JPF65661 JEY65661:JFJ65661 IVC65661:IVN65661 ILG65661:ILR65661 IBK65661:IBV65661 HRO65661:HRZ65661 HHS65661:HID65661 GXW65661:GYH65661 GOA65661:GOL65661 GEE65661:GEP65661 FUI65661:FUT65661 FKM65661:FKX65661 FAQ65661:FBB65661 EQU65661:ERF65661 EGY65661:EHJ65661 DXC65661:DXN65661 DNG65661:DNR65661 DDK65661:DDV65661 CTO65661:CTZ65661 CJS65661:CKD65661 BZW65661:CAH65661 BQA65661:BQL65661 BGE65661:BGP65661 AWI65661:AWT65661 AMM65661:AMX65661 ACQ65661:ADB65661 SU65661:TF65661 IY65661:JJ65661 WVK122:WVV122 WLO122:WLZ122 WBS122:WCD122 VRW122:VSH122 VIA122:VIL122 UYE122:UYP122 UOI122:UOT122 UEM122:UEX122 TUQ122:TVB122 TKU122:TLF122 TAY122:TBJ122 SRC122:SRN122 SHG122:SHR122 RXK122:RXV122 RNO122:RNZ122 RDS122:RED122 QTW122:QUH122 QKA122:QKL122 QAE122:QAP122 PQI122:PQT122 PGM122:PGX122 OWQ122:OXB122 OMU122:ONF122 OCY122:ODJ122 NTC122:NTN122 NJG122:NJR122 MZK122:MZV122 MPO122:MPZ122 MFS122:MGD122 LVW122:LWH122 LMA122:LML122 LCE122:LCP122 KSI122:KST122 KIM122:KIX122 JYQ122:JZB122 JOU122:JPF122 JEY122:JFJ122 IVC122:IVN122 ILG122:ILR122 IBK122:IBV122 HRO122:HRZ122 HHS122:HID122 GXW122:GYH122 GOA122:GOL122 GEE122:GEP122 FUI122:FUT122 FKM122:FKX122 FAQ122:FBB122 EQU122:ERF122 EGY122:EHJ122 DXC122:DXN122 DNG122:DNR122 DDK122:DDV122 CTO122:CTZ122 CJS122:CKD122 BZW122:CAH122 BQA122:BQL122 BGE122:BGP122 AWI122:AWT122 AMM122:AMX122 ACQ122:ADB122 SU122:TF122 IY122:JJ122 WVJ983321:WVV983321 WLN983321:WLZ983321 WBR983321:WCD983321 VRV983321:VSH983321 VHZ983321:VIL983321 UYD983321:UYP983321 UOH983321:UOT983321 UEL983321:UEX983321 TUP983321:TVB983321 TKT983321:TLF983321 TAX983321:TBJ983321 SRB983321:SRN983321 SHF983321:SHR983321 RXJ983321:RXV983321 RNN983321:RNZ983321 RDR983321:RED983321 QTV983321:QUH983321 QJZ983321:QKL983321 QAD983321:QAP983321 PQH983321:PQT983321 PGL983321:PGX983321 OWP983321:OXB983321 OMT983321:ONF983321 OCX983321:ODJ983321 NTB983321:NTN983321 NJF983321:NJR983321 MZJ983321:MZV983321 MPN983321:MPZ983321 MFR983321:MGD983321 LVV983321:LWH983321 LLZ983321:LML983321 LCD983321:LCP983321 KSH983321:KST983321 KIL983321:KIX983321 JYP983321:JZB983321 JOT983321:JPF983321 JEX983321:JFJ983321 IVB983321:IVN983321 ILF983321:ILR983321 IBJ983321:IBV983321 HRN983321:HRZ983321 HHR983321:HID983321 GXV983321:GYH983321 GNZ983321:GOL983321 GED983321:GEP983321 FUH983321:FUT983321 FKL983321:FKX983321 FAP983321:FBB983321 EQT983321:ERF983321 EGX983321:EHJ983321 DXB983321:DXN983321 DNF983321:DNR983321 DDJ983321:DDV983321 CTN983321:CTZ983321 CJR983321:CKD983321 BZV983321:CAH983321 BPZ983321:BQL983321 BGD983321:BGP983321 AWH983321:AWT983321 AML983321:AMX983321 ACP983321:ADB983321 ST983321:TF983321 IX983321:JJ983321 WVJ917785:WVV917785 WLN917785:WLZ917785 WBR917785:WCD917785 VRV917785:VSH917785 VHZ917785:VIL917785 UYD917785:UYP917785 UOH917785:UOT917785 UEL917785:UEX917785 TUP917785:TVB917785 TKT917785:TLF917785 TAX917785:TBJ917785 SRB917785:SRN917785 SHF917785:SHR917785 RXJ917785:RXV917785 RNN917785:RNZ917785 RDR917785:RED917785 QTV917785:QUH917785 QJZ917785:QKL917785 QAD917785:QAP917785 PQH917785:PQT917785 PGL917785:PGX917785 OWP917785:OXB917785 OMT917785:ONF917785 OCX917785:ODJ917785 NTB917785:NTN917785 NJF917785:NJR917785 MZJ917785:MZV917785 MPN917785:MPZ917785 MFR917785:MGD917785 LVV917785:LWH917785 LLZ917785:LML917785 LCD917785:LCP917785 KSH917785:KST917785 KIL917785:KIX917785 JYP917785:JZB917785 JOT917785:JPF917785 JEX917785:JFJ917785 IVB917785:IVN917785 ILF917785:ILR917785 IBJ917785:IBV917785 HRN917785:HRZ917785 HHR917785:HID917785 GXV917785:GYH917785 GNZ917785:GOL917785 GED917785:GEP917785 FUH917785:FUT917785 FKL917785:FKX917785 FAP917785:FBB917785 EQT917785:ERF917785 EGX917785:EHJ917785 DXB917785:DXN917785 DNF917785:DNR917785 DDJ917785:DDV917785 CTN917785:CTZ917785 CJR917785:CKD917785 BZV917785:CAH917785 BPZ917785:BQL917785 BGD917785:BGP917785 AWH917785:AWT917785 AML917785:AMX917785 ACP917785:ADB917785 ST917785:TF917785 IX917785:JJ917785 WVJ852249:WVV852249 WLN852249:WLZ852249 WBR852249:WCD852249 VRV852249:VSH852249 VHZ852249:VIL852249 UYD852249:UYP852249 UOH852249:UOT852249 UEL852249:UEX852249 TUP852249:TVB852249 TKT852249:TLF852249 TAX852249:TBJ852249 SRB852249:SRN852249 SHF852249:SHR852249 RXJ852249:RXV852249 RNN852249:RNZ852249 RDR852249:RED852249 QTV852249:QUH852249 QJZ852249:QKL852249 QAD852249:QAP852249 PQH852249:PQT852249 PGL852249:PGX852249 OWP852249:OXB852249 OMT852249:ONF852249 OCX852249:ODJ852249 NTB852249:NTN852249 NJF852249:NJR852249 MZJ852249:MZV852249 MPN852249:MPZ852249 MFR852249:MGD852249 LVV852249:LWH852249 LLZ852249:LML852249 LCD852249:LCP852249 KSH852249:KST852249 KIL852249:KIX852249 JYP852249:JZB852249 JOT852249:JPF852249 JEX852249:JFJ852249 IVB852249:IVN852249 ILF852249:ILR852249 IBJ852249:IBV852249 HRN852249:HRZ852249 HHR852249:HID852249 GXV852249:GYH852249 GNZ852249:GOL852249 GED852249:GEP852249 FUH852249:FUT852249 FKL852249:FKX852249 FAP852249:FBB852249 EQT852249:ERF852249 EGX852249:EHJ852249 DXB852249:DXN852249 DNF852249:DNR852249 DDJ852249:DDV852249 CTN852249:CTZ852249 CJR852249:CKD852249 BZV852249:CAH852249 BPZ852249:BQL852249 BGD852249:BGP852249 AWH852249:AWT852249 AML852249:AMX852249 ACP852249:ADB852249 ST852249:TF852249 IX852249:JJ852249 WVJ786713:WVV786713 WLN786713:WLZ786713 WBR786713:WCD786713 VRV786713:VSH786713 VHZ786713:VIL786713 UYD786713:UYP786713 UOH786713:UOT786713 UEL786713:UEX786713 TUP786713:TVB786713 TKT786713:TLF786713 TAX786713:TBJ786713 SRB786713:SRN786713 SHF786713:SHR786713 RXJ786713:RXV786713 RNN786713:RNZ786713 RDR786713:RED786713 QTV786713:QUH786713 QJZ786713:QKL786713 QAD786713:QAP786713 PQH786713:PQT786713 PGL786713:PGX786713 OWP786713:OXB786713 OMT786713:ONF786713 OCX786713:ODJ786713 NTB786713:NTN786713 NJF786713:NJR786713 MZJ786713:MZV786713 MPN786713:MPZ786713 MFR786713:MGD786713 LVV786713:LWH786713 LLZ786713:LML786713 LCD786713:LCP786713 KSH786713:KST786713 KIL786713:KIX786713 JYP786713:JZB786713 JOT786713:JPF786713 JEX786713:JFJ786713 IVB786713:IVN786713 ILF786713:ILR786713 IBJ786713:IBV786713 HRN786713:HRZ786713 HHR786713:HID786713 GXV786713:GYH786713 GNZ786713:GOL786713 GED786713:GEP786713 FUH786713:FUT786713 FKL786713:FKX786713 FAP786713:FBB786713 EQT786713:ERF786713 EGX786713:EHJ786713 DXB786713:DXN786713 DNF786713:DNR786713 DDJ786713:DDV786713 CTN786713:CTZ786713 CJR786713:CKD786713 BZV786713:CAH786713 BPZ786713:BQL786713 BGD786713:BGP786713 AWH786713:AWT786713 AML786713:AMX786713 ACP786713:ADB786713 ST786713:TF786713 IX786713:JJ786713 WVJ721177:WVV721177 WLN721177:WLZ721177 WBR721177:WCD721177 VRV721177:VSH721177 VHZ721177:VIL721177 UYD721177:UYP721177 UOH721177:UOT721177 UEL721177:UEX721177 TUP721177:TVB721177 TKT721177:TLF721177 TAX721177:TBJ721177 SRB721177:SRN721177 SHF721177:SHR721177 RXJ721177:RXV721177 RNN721177:RNZ721177 RDR721177:RED721177 QTV721177:QUH721177 QJZ721177:QKL721177 QAD721177:QAP721177 PQH721177:PQT721177 PGL721177:PGX721177 OWP721177:OXB721177 OMT721177:ONF721177 OCX721177:ODJ721177 NTB721177:NTN721177 NJF721177:NJR721177 MZJ721177:MZV721177 MPN721177:MPZ721177 MFR721177:MGD721177 LVV721177:LWH721177 LLZ721177:LML721177 LCD721177:LCP721177 KSH721177:KST721177 KIL721177:KIX721177 JYP721177:JZB721177 JOT721177:JPF721177 JEX721177:JFJ721177 IVB721177:IVN721177 ILF721177:ILR721177 IBJ721177:IBV721177 HRN721177:HRZ721177 HHR721177:HID721177 GXV721177:GYH721177 GNZ721177:GOL721177 GED721177:GEP721177 FUH721177:FUT721177 FKL721177:FKX721177 FAP721177:FBB721177 EQT721177:ERF721177 EGX721177:EHJ721177 DXB721177:DXN721177 DNF721177:DNR721177 DDJ721177:DDV721177 CTN721177:CTZ721177 CJR721177:CKD721177 BZV721177:CAH721177 BPZ721177:BQL721177 BGD721177:BGP721177 AWH721177:AWT721177 AML721177:AMX721177 ACP721177:ADB721177 ST721177:TF721177 IX721177:JJ721177 WVJ655641:WVV655641 WLN655641:WLZ655641 WBR655641:WCD655641 VRV655641:VSH655641 VHZ655641:VIL655641 UYD655641:UYP655641 UOH655641:UOT655641 UEL655641:UEX655641 TUP655641:TVB655641 TKT655641:TLF655641 TAX655641:TBJ655641 SRB655641:SRN655641 SHF655641:SHR655641 RXJ655641:RXV655641 RNN655641:RNZ655641 RDR655641:RED655641 QTV655641:QUH655641 QJZ655641:QKL655641 QAD655641:QAP655641 PQH655641:PQT655641 PGL655641:PGX655641 OWP655641:OXB655641 OMT655641:ONF655641 OCX655641:ODJ655641 NTB655641:NTN655641 NJF655641:NJR655641 MZJ655641:MZV655641 MPN655641:MPZ655641 MFR655641:MGD655641 LVV655641:LWH655641 LLZ655641:LML655641 LCD655641:LCP655641 KSH655641:KST655641 KIL655641:KIX655641 JYP655641:JZB655641 JOT655641:JPF655641 JEX655641:JFJ655641 IVB655641:IVN655641 ILF655641:ILR655641 IBJ655641:IBV655641 HRN655641:HRZ655641 HHR655641:HID655641 GXV655641:GYH655641 GNZ655641:GOL655641 GED655641:GEP655641 FUH655641:FUT655641 FKL655641:FKX655641 FAP655641:FBB655641 EQT655641:ERF655641 EGX655641:EHJ655641 DXB655641:DXN655641 DNF655641:DNR655641 DDJ655641:DDV655641 CTN655641:CTZ655641 CJR655641:CKD655641 BZV655641:CAH655641 BPZ655641:BQL655641 BGD655641:BGP655641 AWH655641:AWT655641 AML655641:AMX655641 ACP655641:ADB655641 ST655641:TF655641 IX655641:JJ655641 WVJ590105:WVV590105 WLN590105:WLZ590105 WBR590105:WCD590105 VRV590105:VSH590105 VHZ590105:VIL590105 UYD590105:UYP590105 UOH590105:UOT590105 UEL590105:UEX590105 TUP590105:TVB590105 TKT590105:TLF590105 TAX590105:TBJ590105 SRB590105:SRN590105 SHF590105:SHR590105 RXJ590105:RXV590105 RNN590105:RNZ590105 RDR590105:RED590105 QTV590105:QUH590105 QJZ590105:QKL590105 QAD590105:QAP590105 PQH590105:PQT590105 PGL590105:PGX590105 OWP590105:OXB590105 OMT590105:ONF590105 OCX590105:ODJ590105 NTB590105:NTN590105 NJF590105:NJR590105 MZJ590105:MZV590105 MPN590105:MPZ590105 MFR590105:MGD590105 LVV590105:LWH590105 LLZ590105:LML590105 LCD590105:LCP590105 KSH590105:KST590105 KIL590105:KIX590105 JYP590105:JZB590105 JOT590105:JPF590105 JEX590105:JFJ590105 IVB590105:IVN590105 ILF590105:ILR590105 IBJ590105:IBV590105 HRN590105:HRZ590105 HHR590105:HID590105 GXV590105:GYH590105 GNZ590105:GOL590105 GED590105:GEP590105 FUH590105:FUT590105 FKL590105:FKX590105 FAP590105:FBB590105 EQT590105:ERF590105 EGX590105:EHJ590105 DXB590105:DXN590105 DNF590105:DNR590105 DDJ590105:DDV590105 CTN590105:CTZ590105 CJR590105:CKD590105 BZV590105:CAH590105 BPZ590105:BQL590105 BGD590105:BGP590105 AWH590105:AWT590105 AML590105:AMX590105 ACP590105:ADB590105 ST590105:TF590105 IX590105:JJ590105 WVJ524569:WVV524569 WLN524569:WLZ524569 WBR524569:WCD524569 VRV524569:VSH524569 VHZ524569:VIL524569 UYD524569:UYP524569 UOH524569:UOT524569 UEL524569:UEX524569 TUP524569:TVB524569 TKT524569:TLF524569 TAX524569:TBJ524569 SRB524569:SRN524569 SHF524569:SHR524569 RXJ524569:RXV524569 RNN524569:RNZ524569 RDR524569:RED524569 QTV524569:QUH524569 QJZ524569:QKL524569 QAD524569:QAP524569 PQH524569:PQT524569 PGL524569:PGX524569 OWP524569:OXB524569 OMT524569:ONF524569 OCX524569:ODJ524569 NTB524569:NTN524569 NJF524569:NJR524569 MZJ524569:MZV524569 MPN524569:MPZ524569 MFR524569:MGD524569 LVV524569:LWH524569 LLZ524569:LML524569 LCD524569:LCP524569 KSH524569:KST524569 KIL524569:KIX524569 JYP524569:JZB524569 JOT524569:JPF524569 JEX524569:JFJ524569 IVB524569:IVN524569 ILF524569:ILR524569 IBJ524569:IBV524569 HRN524569:HRZ524569 HHR524569:HID524569 GXV524569:GYH524569 GNZ524569:GOL524569 GED524569:GEP524569 FUH524569:FUT524569 FKL524569:FKX524569 FAP524569:FBB524569 EQT524569:ERF524569 EGX524569:EHJ524569 DXB524569:DXN524569 DNF524569:DNR524569 DDJ524569:DDV524569 CTN524569:CTZ524569 CJR524569:CKD524569 BZV524569:CAH524569 BPZ524569:BQL524569 BGD524569:BGP524569 AWH524569:AWT524569 AML524569:AMX524569 ACP524569:ADB524569 ST524569:TF524569 IX524569:JJ524569 WVJ459033:WVV459033 WLN459033:WLZ459033 WBR459033:WCD459033 VRV459033:VSH459033 VHZ459033:VIL459033 UYD459033:UYP459033 UOH459033:UOT459033 UEL459033:UEX459033 TUP459033:TVB459033 TKT459033:TLF459033 TAX459033:TBJ459033 SRB459033:SRN459033 SHF459033:SHR459033 RXJ459033:RXV459033 RNN459033:RNZ459033 RDR459033:RED459033 QTV459033:QUH459033 QJZ459033:QKL459033 QAD459033:QAP459033 PQH459033:PQT459033 PGL459033:PGX459033 OWP459033:OXB459033 OMT459033:ONF459033 OCX459033:ODJ459033 NTB459033:NTN459033 NJF459033:NJR459033 MZJ459033:MZV459033 MPN459033:MPZ459033 MFR459033:MGD459033 LVV459033:LWH459033 LLZ459033:LML459033 LCD459033:LCP459033 KSH459033:KST459033 KIL459033:KIX459033 JYP459033:JZB459033 JOT459033:JPF459033 JEX459033:JFJ459033 IVB459033:IVN459033 ILF459033:ILR459033 IBJ459033:IBV459033 HRN459033:HRZ459033 HHR459033:HID459033 GXV459033:GYH459033 GNZ459033:GOL459033 GED459033:GEP459033 FUH459033:FUT459033 FKL459033:FKX459033 FAP459033:FBB459033 EQT459033:ERF459033 EGX459033:EHJ459033 DXB459033:DXN459033 DNF459033:DNR459033 DDJ459033:DDV459033 CTN459033:CTZ459033 CJR459033:CKD459033 BZV459033:CAH459033 BPZ459033:BQL459033 BGD459033:BGP459033 AWH459033:AWT459033 AML459033:AMX459033 ACP459033:ADB459033 ST459033:TF459033 IX459033:JJ459033 WVJ393497:WVV393497 WLN393497:WLZ393497 WBR393497:WCD393497 VRV393497:VSH393497 VHZ393497:VIL393497 UYD393497:UYP393497 UOH393497:UOT393497 UEL393497:UEX393497 TUP393497:TVB393497 TKT393497:TLF393497 TAX393497:TBJ393497 SRB393497:SRN393497 SHF393497:SHR393497 RXJ393497:RXV393497 RNN393497:RNZ393497 RDR393497:RED393497 QTV393497:QUH393497 QJZ393497:QKL393497 QAD393497:QAP393497 PQH393497:PQT393497 PGL393497:PGX393497 OWP393497:OXB393497 OMT393497:ONF393497 OCX393497:ODJ393497 NTB393497:NTN393497 NJF393497:NJR393497 MZJ393497:MZV393497 MPN393497:MPZ393497 MFR393497:MGD393497 LVV393497:LWH393497 LLZ393497:LML393497 LCD393497:LCP393497 KSH393497:KST393497 KIL393497:KIX393497 JYP393497:JZB393497 JOT393497:JPF393497 JEX393497:JFJ393497 IVB393497:IVN393497 ILF393497:ILR393497 IBJ393497:IBV393497 HRN393497:HRZ393497 HHR393497:HID393497 GXV393497:GYH393497 GNZ393497:GOL393497 GED393497:GEP393497 FUH393497:FUT393497 FKL393497:FKX393497 FAP393497:FBB393497 EQT393497:ERF393497 EGX393497:EHJ393497 DXB393497:DXN393497 DNF393497:DNR393497 DDJ393497:DDV393497 CTN393497:CTZ393497 CJR393497:CKD393497 BZV393497:CAH393497 BPZ393497:BQL393497 BGD393497:BGP393497 AWH393497:AWT393497 AML393497:AMX393497 ACP393497:ADB393497 ST393497:TF393497 IX393497:JJ393497 WVJ327961:WVV327961 WLN327961:WLZ327961 WBR327961:WCD327961 VRV327961:VSH327961 VHZ327961:VIL327961 UYD327961:UYP327961 UOH327961:UOT327961 UEL327961:UEX327961 TUP327961:TVB327961 TKT327961:TLF327961 TAX327961:TBJ327961 SRB327961:SRN327961 SHF327961:SHR327961 RXJ327961:RXV327961 RNN327961:RNZ327961 RDR327961:RED327961 QTV327961:QUH327961 QJZ327961:QKL327961 QAD327961:QAP327961 PQH327961:PQT327961 PGL327961:PGX327961 OWP327961:OXB327961 OMT327961:ONF327961 OCX327961:ODJ327961 NTB327961:NTN327961 NJF327961:NJR327961 MZJ327961:MZV327961 MPN327961:MPZ327961 MFR327961:MGD327961 LVV327961:LWH327961 LLZ327961:LML327961 LCD327961:LCP327961 KSH327961:KST327961 KIL327961:KIX327961 JYP327961:JZB327961 JOT327961:JPF327961 JEX327961:JFJ327961 IVB327961:IVN327961 ILF327961:ILR327961 IBJ327961:IBV327961 HRN327961:HRZ327961 HHR327961:HID327961 GXV327961:GYH327961 GNZ327961:GOL327961 GED327961:GEP327961 FUH327961:FUT327961 FKL327961:FKX327961 FAP327961:FBB327961 EQT327961:ERF327961 EGX327961:EHJ327961 DXB327961:DXN327961 DNF327961:DNR327961 DDJ327961:DDV327961 CTN327961:CTZ327961 CJR327961:CKD327961 BZV327961:CAH327961 BPZ327961:BQL327961 BGD327961:BGP327961 AWH327961:AWT327961 AML327961:AMX327961 ACP327961:ADB327961 ST327961:TF327961 IX327961:JJ327961 WVJ262425:WVV262425 WLN262425:WLZ262425 WBR262425:WCD262425 VRV262425:VSH262425 VHZ262425:VIL262425 UYD262425:UYP262425 UOH262425:UOT262425 UEL262425:UEX262425 TUP262425:TVB262425 TKT262425:TLF262425 TAX262425:TBJ262425 SRB262425:SRN262425 SHF262425:SHR262425 RXJ262425:RXV262425 RNN262425:RNZ262425 RDR262425:RED262425 QTV262425:QUH262425 QJZ262425:QKL262425 QAD262425:QAP262425 PQH262425:PQT262425 PGL262425:PGX262425 OWP262425:OXB262425 OMT262425:ONF262425 OCX262425:ODJ262425 NTB262425:NTN262425 NJF262425:NJR262425 MZJ262425:MZV262425 MPN262425:MPZ262425 MFR262425:MGD262425 LVV262425:LWH262425 LLZ262425:LML262425 LCD262425:LCP262425 KSH262425:KST262425 KIL262425:KIX262425 JYP262425:JZB262425 JOT262425:JPF262425 JEX262425:JFJ262425 IVB262425:IVN262425 ILF262425:ILR262425 IBJ262425:IBV262425 HRN262425:HRZ262425 HHR262425:HID262425 GXV262425:GYH262425 GNZ262425:GOL262425 GED262425:GEP262425 FUH262425:FUT262425 FKL262425:FKX262425 FAP262425:FBB262425 EQT262425:ERF262425 EGX262425:EHJ262425 DXB262425:DXN262425 DNF262425:DNR262425 DDJ262425:DDV262425 CTN262425:CTZ262425 CJR262425:CKD262425 BZV262425:CAH262425 BPZ262425:BQL262425 BGD262425:BGP262425 AWH262425:AWT262425 AML262425:AMX262425 ACP262425:ADB262425 ST262425:TF262425 IX262425:JJ262425 WVJ196889:WVV196889 WLN196889:WLZ196889 WBR196889:WCD196889 VRV196889:VSH196889 VHZ196889:VIL196889 UYD196889:UYP196889 UOH196889:UOT196889 UEL196889:UEX196889 TUP196889:TVB196889 TKT196889:TLF196889 TAX196889:TBJ196889 SRB196889:SRN196889 SHF196889:SHR196889 RXJ196889:RXV196889 RNN196889:RNZ196889 RDR196889:RED196889 QTV196889:QUH196889 QJZ196889:QKL196889 QAD196889:QAP196889 PQH196889:PQT196889 PGL196889:PGX196889 OWP196889:OXB196889 OMT196889:ONF196889 OCX196889:ODJ196889 NTB196889:NTN196889 NJF196889:NJR196889 MZJ196889:MZV196889 MPN196889:MPZ196889 MFR196889:MGD196889 LVV196889:LWH196889 LLZ196889:LML196889 LCD196889:LCP196889 KSH196889:KST196889 KIL196889:KIX196889 JYP196889:JZB196889 JOT196889:JPF196889 JEX196889:JFJ196889 IVB196889:IVN196889 ILF196889:ILR196889 IBJ196889:IBV196889 HRN196889:HRZ196889 HHR196889:HID196889 GXV196889:GYH196889 GNZ196889:GOL196889 GED196889:GEP196889 FUH196889:FUT196889 FKL196889:FKX196889 FAP196889:FBB196889 EQT196889:ERF196889 EGX196889:EHJ196889 DXB196889:DXN196889 DNF196889:DNR196889 DDJ196889:DDV196889 CTN196889:CTZ196889 CJR196889:CKD196889 BZV196889:CAH196889 BPZ196889:BQL196889 BGD196889:BGP196889 AWH196889:AWT196889 AML196889:AMX196889 ACP196889:ADB196889 ST196889:TF196889 IX196889:JJ196889 WVJ131353:WVV131353 WLN131353:WLZ131353 WBR131353:WCD131353 VRV131353:VSH131353 VHZ131353:VIL131353 UYD131353:UYP131353 UOH131353:UOT131353 UEL131353:UEX131353 TUP131353:TVB131353 TKT131353:TLF131353 TAX131353:TBJ131353 SRB131353:SRN131353 SHF131353:SHR131353 RXJ131353:RXV131353 RNN131353:RNZ131353 RDR131353:RED131353 QTV131353:QUH131353 QJZ131353:QKL131353 QAD131353:QAP131353 PQH131353:PQT131353 PGL131353:PGX131353 OWP131353:OXB131353 OMT131353:ONF131353 OCX131353:ODJ131353 NTB131353:NTN131353 NJF131353:NJR131353 MZJ131353:MZV131353 MPN131353:MPZ131353 MFR131353:MGD131353 LVV131353:LWH131353 LLZ131353:LML131353 LCD131353:LCP131353 KSH131353:KST131353 KIL131353:KIX131353 JYP131353:JZB131353 JOT131353:JPF131353 JEX131353:JFJ131353 IVB131353:IVN131353 ILF131353:ILR131353 IBJ131353:IBV131353 HRN131353:HRZ131353 HHR131353:HID131353 GXV131353:GYH131353 GNZ131353:GOL131353 GED131353:GEP131353 FUH131353:FUT131353 FKL131353:FKX131353 FAP131353:FBB131353 EQT131353:ERF131353 EGX131353:EHJ131353 DXB131353:DXN131353 DNF131353:DNR131353 DDJ131353:DDV131353 CTN131353:CTZ131353 CJR131353:CKD131353 BZV131353:CAH131353 BPZ131353:BQL131353 BGD131353:BGP131353 AWH131353:AWT131353 AML131353:AMX131353 ACP131353:ADB131353 ST131353:TF131353 IX131353:JJ131353 WVJ65817:WVV65817 WLN65817:WLZ65817 WBR65817:WCD65817 VRV65817:VSH65817 VHZ65817:VIL65817 UYD65817:UYP65817 UOH65817:UOT65817 UEL65817:UEX65817 TUP65817:TVB65817 TKT65817:TLF65817 TAX65817:TBJ65817 SRB65817:SRN65817 SHF65817:SHR65817 RXJ65817:RXV65817 RNN65817:RNZ65817 RDR65817:RED65817 QTV65817:QUH65817 QJZ65817:QKL65817 QAD65817:QAP65817 PQH65817:PQT65817 PGL65817:PGX65817 OWP65817:OXB65817 OMT65817:ONF65817 OCX65817:ODJ65817 NTB65817:NTN65817 NJF65817:NJR65817 MZJ65817:MZV65817 MPN65817:MPZ65817 MFR65817:MGD65817 LVV65817:LWH65817 LLZ65817:LML65817 LCD65817:LCP65817 KSH65817:KST65817 KIL65817:KIX65817 JYP65817:JZB65817 JOT65817:JPF65817 JEX65817:JFJ65817 IVB65817:IVN65817 ILF65817:ILR65817 IBJ65817:IBV65817 HRN65817:HRZ65817 HHR65817:HID65817 GXV65817:GYH65817 GNZ65817:GOL65817 GED65817:GEP65817 FUH65817:FUT65817 FKL65817:FKX65817 FAP65817:FBB65817 EQT65817:ERF65817 EGX65817:EHJ65817 DXB65817:DXN65817 DNF65817:DNR65817 DDJ65817:DDV65817 CTN65817:CTZ65817 CJR65817:CKD65817 BZV65817:CAH65817 BPZ65817:BQL65817 BGD65817:BGP65817 AWH65817:AWT65817 AML65817:AMX65817 ACP65817:ADB65817 ST65817:TF65817 IX65817:JJ65817 WVJ277:WVV277 WLN277:WLZ277 WBR277:WCD277 VRV277:VSH277 VHZ277:VIL277 UYD277:UYP277 UOH277:UOT277 UEL277:UEX277 TUP277:TVB277 TKT277:TLF277 TAX277:TBJ277 SRB277:SRN277 SHF277:SHR277 RXJ277:RXV277 RNN277:RNZ277 RDR277:RED277 QTV277:QUH277 QJZ277:QKL277 QAD277:QAP277 PQH277:PQT277 PGL277:PGX277 OWP277:OXB277 OMT277:ONF277 OCX277:ODJ277 NTB277:NTN277 NJF277:NJR277 MZJ277:MZV277 MPN277:MPZ277 MFR277:MGD277 LVV277:LWH277 LLZ277:LML277 LCD277:LCP277 KSH277:KST277 KIL277:KIX277 JYP277:JZB277 JOT277:JPF277 JEX277:JFJ277 IVB277:IVN277 ILF277:ILR277 IBJ277:IBV277 HRN277:HRZ277 HHR277:HID277 GXV277:GYH277 GNZ277:GOL277 GED277:GEP277 FUH277:FUT277 FKL277:FKX277 FAP277:FBB277 EQT277:ERF277 EGX277:EHJ277 DXB277:DXN277 DNF277:DNR277 DDJ277:DDV277 CTN277:CTZ277 CJR277:CKD277 BZV277:CAH277 BPZ277:BQL277 BGD277:BGP277 AWH277:AWT277 AML277:AMX277 ACP277:ADB277 ST277:TF277 IX277:JJ277 WVJ983373:WVV983373 WLN983373:WLZ983373 WBR983373:WCD983373 VRV983373:VSH983373 VHZ983373:VIL983373 UYD983373:UYP983373 UOH983373:UOT983373 UEL983373:UEX983373 TUP983373:TVB983373 TKT983373:TLF983373 TAX983373:TBJ983373 SRB983373:SRN983373 SHF983373:SHR983373 RXJ983373:RXV983373 RNN983373:RNZ983373 RDR983373:RED983373 QTV983373:QUH983373 QJZ983373:QKL983373 QAD983373:QAP983373 PQH983373:PQT983373 PGL983373:PGX983373 OWP983373:OXB983373 OMT983373:ONF983373 OCX983373:ODJ983373 NTB983373:NTN983373 NJF983373:NJR983373 MZJ983373:MZV983373 MPN983373:MPZ983373 MFR983373:MGD983373 LVV983373:LWH983373 LLZ983373:LML983373 LCD983373:LCP983373 KSH983373:KST983373 KIL983373:KIX983373 JYP983373:JZB983373 JOT983373:JPF983373 JEX983373:JFJ983373 IVB983373:IVN983373 ILF983373:ILR983373 IBJ983373:IBV983373 HRN983373:HRZ983373 HHR983373:HID983373 GXV983373:GYH983373 GNZ983373:GOL983373 GED983373:GEP983373 FUH983373:FUT983373 FKL983373:FKX983373 FAP983373:FBB983373 EQT983373:ERF983373 EGX983373:EHJ983373 DXB983373:DXN983373 DNF983373:DNR983373 DDJ983373:DDV983373 CTN983373:CTZ983373 CJR983373:CKD983373 BZV983373:CAH983373 BPZ983373:BQL983373 BGD983373:BGP983373 AWH983373:AWT983373 AML983373:AMX983373 ACP983373:ADB983373 ST983373:TF983373 IX983373:JJ983373 WVJ917837:WVV917837 WLN917837:WLZ917837 WBR917837:WCD917837 VRV917837:VSH917837 VHZ917837:VIL917837 UYD917837:UYP917837 UOH917837:UOT917837 UEL917837:UEX917837 TUP917837:TVB917837 TKT917837:TLF917837 TAX917837:TBJ917837 SRB917837:SRN917837 SHF917837:SHR917837 RXJ917837:RXV917837 RNN917837:RNZ917837 RDR917837:RED917837 QTV917837:QUH917837 QJZ917837:QKL917837 QAD917837:QAP917837 PQH917837:PQT917837 PGL917837:PGX917837 OWP917837:OXB917837 OMT917837:ONF917837 OCX917837:ODJ917837 NTB917837:NTN917837 NJF917837:NJR917837 MZJ917837:MZV917837 MPN917837:MPZ917837 MFR917837:MGD917837 LVV917837:LWH917837 LLZ917837:LML917837 LCD917837:LCP917837 KSH917837:KST917837 KIL917837:KIX917837 JYP917837:JZB917837 JOT917837:JPF917837 JEX917837:JFJ917837 IVB917837:IVN917837 ILF917837:ILR917837 IBJ917837:IBV917837 HRN917837:HRZ917837 HHR917837:HID917837 GXV917837:GYH917837 GNZ917837:GOL917837 GED917837:GEP917837 FUH917837:FUT917837 FKL917837:FKX917837 FAP917837:FBB917837 EQT917837:ERF917837 EGX917837:EHJ917837 DXB917837:DXN917837 DNF917837:DNR917837 DDJ917837:DDV917837 CTN917837:CTZ917837 CJR917837:CKD917837 BZV917837:CAH917837 BPZ917837:BQL917837 BGD917837:BGP917837 AWH917837:AWT917837 AML917837:AMX917837 ACP917837:ADB917837 ST917837:TF917837 IX917837:JJ917837 WVJ852301:WVV852301 WLN852301:WLZ852301 WBR852301:WCD852301 VRV852301:VSH852301 VHZ852301:VIL852301 UYD852301:UYP852301 UOH852301:UOT852301 UEL852301:UEX852301 TUP852301:TVB852301 TKT852301:TLF852301 TAX852301:TBJ852301 SRB852301:SRN852301 SHF852301:SHR852301 RXJ852301:RXV852301 RNN852301:RNZ852301 RDR852301:RED852301 QTV852301:QUH852301 QJZ852301:QKL852301 QAD852301:QAP852301 PQH852301:PQT852301 PGL852301:PGX852301 OWP852301:OXB852301 OMT852301:ONF852301 OCX852301:ODJ852301 NTB852301:NTN852301 NJF852301:NJR852301 MZJ852301:MZV852301 MPN852301:MPZ852301 MFR852301:MGD852301 LVV852301:LWH852301 LLZ852301:LML852301 LCD852301:LCP852301 KSH852301:KST852301 KIL852301:KIX852301 JYP852301:JZB852301 JOT852301:JPF852301 JEX852301:JFJ852301 IVB852301:IVN852301 ILF852301:ILR852301 IBJ852301:IBV852301 HRN852301:HRZ852301 HHR852301:HID852301 GXV852301:GYH852301 GNZ852301:GOL852301 GED852301:GEP852301 FUH852301:FUT852301 FKL852301:FKX852301 FAP852301:FBB852301 EQT852301:ERF852301 EGX852301:EHJ852301 DXB852301:DXN852301 DNF852301:DNR852301 DDJ852301:DDV852301 CTN852301:CTZ852301 CJR852301:CKD852301 BZV852301:CAH852301 BPZ852301:BQL852301 BGD852301:BGP852301 AWH852301:AWT852301 AML852301:AMX852301 ACP852301:ADB852301 ST852301:TF852301 IX852301:JJ852301 WVJ786765:WVV786765 WLN786765:WLZ786765 WBR786765:WCD786765 VRV786765:VSH786765 VHZ786765:VIL786765 UYD786765:UYP786765 UOH786765:UOT786765 UEL786765:UEX786765 TUP786765:TVB786765 TKT786765:TLF786765 TAX786765:TBJ786765 SRB786765:SRN786765 SHF786765:SHR786765 RXJ786765:RXV786765 RNN786765:RNZ786765 RDR786765:RED786765 QTV786765:QUH786765 QJZ786765:QKL786765 QAD786765:QAP786765 PQH786765:PQT786765 PGL786765:PGX786765 OWP786765:OXB786765 OMT786765:ONF786765 OCX786765:ODJ786765 NTB786765:NTN786765 NJF786765:NJR786765 MZJ786765:MZV786765 MPN786765:MPZ786765 MFR786765:MGD786765 LVV786765:LWH786765 LLZ786765:LML786765 LCD786765:LCP786765 KSH786765:KST786765 KIL786765:KIX786765 JYP786765:JZB786765 JOT786765:JPF786765 JEX786765:JFJ786765 IVB786765:IVN786765 ILF786765:ILR786765 IBJ786765:IBV786765 HRN786765:HRZ786765 HHR786765:HID786765 GXV786765:GYH786765 GNZ786765:GOL786765 GED786765:GEP786765 FUH786765:FUT786765 FKL786765:FKX786765 FAP786765:FBB786765 EQT786765:ERF786765 EGX786765:EHJ786765 DXB786765:DXN786765 DNF786765:DNR786765 DDJ786765:DDV786765 CTN786765:CTZ786765 CJR786765:CKD786765 BZV786765:CAH786765 BPZ786765:BQL786765 BGD786765:BGP786765 AWH786765:AWT786765 AML786765:AMX786765 ACP786765:ADB786765 ST786765:TF786765 IX786765:JJ786765 WVJ721229:WVV721229 WLN721229:WLZ721229 WBR721229:WCD721229 VRV721229:VSH721229 VHZ721229:VIL721229 UYD721229:UYP721229 UOH721229:UOT721229 UEL721229:UEX721229 TUP721229:TVB721229 TKT721229:TLF721229 TAX721229:TBJ721229 SRB721229:SRN721229 SHF721229:SHR721229 RXJ721229:RXV721229 RNN721229:RNZ721229 RDR721229:RED721229 QTV721229:QUH721229 QJZ721229:QKL721229 QAD721229:QAP721229 PQH721229:PQT721229 PGL721229:PGX721229 OWP721229:OXB721229 OMT721229:ONF721229 OCX721229:ODJ721229 NTB721229:NTN721229 NJF721229:NJR721229 MZJ721229:MZV721229 MPN721229:MPZ721229 MFR721229:MGD721229 LVV721229:LWH721229 LLZ721229:LML721229 LCD721229:LCP721229 KSH721229:KST721229 KIL721229:KIX721229 JYP721229:JZB721229 JOT721229:JPF721229 JEX721229:JFJ721229 IVB721229:IVN721229 ILF721229:ILR721229 IBJ721229:IBV721229 HRN721229:HRZ721229 HHR721229:HID721229 GXV721229:GYH721229 GNZ721229:GOL721229 GED721229:GEP721229 FUH721229:FUT721229 FKL721229:FKX721229 FAP721229:FBB721229 EQT721229:ERF721229 EGX721229:EHJ721229 DXB721229:DXN721229 DNF721229:DNR721229 DDJ721229:DDV721229 CTN721229:CTZ721229 CJR721229:CKD721229 BZV721229:CAH721229 BPZ721229:BQL721229 BGD721229:BGP721229 AWH721229:AWT721229 AML721229:AMX721229 ACP721229:ADB721229 ST721229:TF721229 IX721229:JJ721229 WVJ655693:WVV655693 WLN655693:WLZ655693 WBR655693:WCD655693 VRV655693:VSH655693 VHZ655693:VIL655693 UYD655693:UYP655693 UOH655693:UOT655693 UEL655693:UEX655693 TUP655693:TVB655693 TKT655693:TLF655693 TAX655693:TBJ655693 SRB655693:SRN655693 SHF655693:SHR655693 RXJ655693:RXV655693 RNN655693:RNZ655693 RDR655693:RED655693 QTV655693:QUH655693 QJZ655693:QKL655693 QAD655693:QAP655693 PQH655693:PQT655693 PGL655693:PGX655693 OWP655693:OXB655693 OMT655693:ONF655693 OCX655693:ODJ655693 NTB655693:NTN655693 NJF655693:NJR655693 MZJ655693:MZV655693 MPN655693:MPZ655693 MFR655693:MGD655693 LVV655693:LWH655693 LLZ655693:LML655693 LCD655693:LCP655693 KSH655693:KST655693 KIL655693:KIX655693 JYP655693:JZB655693 JOT655693:JPF655693 JEX655693:JFJ655693 IVB655693:IVN655693 ILF655693:ILR655693 IBJ655693:IBV655693 HRN655693:HRZ655693 HHR655693:HID655693 GXV655693:GYH655693 GNZ655693:GOL655693 GED655693:GEP655693 FUH655693:FUT655693 FKL655693:FKX655693 FAP655693:FBB655693 EQT655693:ERF655693 EGX655693:EHJ655693 DXB655693:DXN655693 DNF655693:DNR655693 DDJ655693:DDV655693 CTN655693:CTZ655693 CJR655693:CKD655693 BZV655693:CAH655693 BPZ655693:BQL655693 BGD655693:BGP655693 AWH655693:AWT655693 AML655693:AMX655693 ACP655693:ADB655693 ST655693:TF655693 IX655693:JJ655693 WVJ590157:WVV590157 WLN590157:WLZ590157 WBR590157:WCD590157 VRV590157:VSH590157 VHZ590157:VIL590157 UYD590157:UYP590157 UOH590157:UOT590157 UEL590157:UEX590157 TUP590157:TVB590157 TKT590157:TLF590157 TAX590157:TBJ590157 SRB590157:SRN590157 SHF590157:SHR590157 RXJ590157:RXV590157 RNN590157:RNZ590157 RDR590157:RED590157 QTV590157:QUH590157 QJZ590157:QKL590157 QAD590157:QAP590157 PQH590157:PQT590157 PGL590157:PGX590157 OWP590157:OXB590157 OMT590157:ONF590157 OCX590157:ODJ590157 NTB590157:NTN590157 NJF590157:NJR590157 MZJ590157:MZV590157 MPN590157:MPZ590157 MFR590157:MGD590157 LVV590157:LWH590157 LLZ590157:LML590157 LCD590157:LCP590157 KSH590157:KST590157 KIL590157:KIX590157 JYP590157:JZB590157 JOT590157:JPF590157 JEX590157:JFJ590157 IVB590157:IVN590157 ILF590157:ILR590157 IBJ590157:IBV590157 HRN590157:HRZ590157 HHR590157:HID590157 GXV590157:GYH590157 GNZ590157:GOL590157 GED590157:GEP590157 FUH590157:FUT590157 FKL590157:FKX590157 FAP590157:FBB590157 EQT590157:ERF590157 EGX590157:EHJ590157 DXB590157:DXN590157 DNF590157:DNR590157 DDJ590157:DDV590157 CTN590157:CTZ590157 CJR590157:CKD590157 BZV590157:CAH590157 BPZ590157:BQL590157 BGD590157:BGP590157 AWH590157:AWT590157 AML590157:AMX590157 ACP590157:ADB590157 ST590157:TF590157 IX590157:JJ590157 WVJ524621:WVV524621 WLN524621:WLZ524621 WBR524621:WCD524621 VRV524621:VSH524621 VHZ524621:VIL524621 UYD524621:UYP524621 UOH524621:UOT524621 UEL524621:UEX524621 TUP524621:TVB524621 TKT524621:TLF524621 TAX524621:TBJ524621 SRB524621:SRN524621 SHF524621:SHR524621 RXJ524621:RXV524621 RNN524621:RNZ524621 RDR524621:RED524621 QTV524621:QUH524621 QJZ524621:QKL524621 QAD524621:QAP524621 PQH524621:PQT524621 PGL524621:PGX524621 OWP524621:OXB524621 OMT524621:ONF524621 OCX524621:ODJ524621 NTB524621:NTN524621 NJF524621:NJR524621 MZJ524621:MZV524621 MPN524621:MPZ524621 MFR524621:MGD524621 LVV524621:LWH524621 LLZ524621:LML524621 LCD524621:LCP524621 KSH524621:KST524621 KIL524621:KIX524621 JYP524621:JZB524621 JOT524621:JPF524621 JEX524621:JFJ524621 IVB524621:IVN524621 ILF524621:ILR524621 IBJ524621:IBV524621 HRN524621:HRZ524621 HHR524621:HID524621 GXV524621:GYH524621 GNZ524621:GOL524621 GED524621:GEP524621 FUH524621:FUT524621 FKL524621:FKX524621 FAP524621:FBB524621 EQT524621:ERF524621 EGX524621:EHJ524621 DXB524621:DXN524621 DNF524621:DNR524621 DDJ524621:DDV524621 CTN524621:CTZ524621 CJR524621:CKD524621 BZV524621:CAH524621 BPZ524621:BQL524621 BGD524621:BGP524621 AWH524621:AWT524621 AML524621:AMX524621 ACP524621:ADB524621 ST524621:TF524621 IX524621:JJ524621 WVJ459085:WVV459085 WLN459085:WLZ459085 WBR459085:WCD459085 VRV459085:VSH459085 VHZ459085:VIL459085 UYD459085:UYP459085 UOH459085:UOT459085 UEL459085:UEX459085 TUP459085:TVB459085 TKT459085:TLF459085 TAX459085:TBJ459085 SRB459085:SRN459085 SHF459085:SHR459085 RXJ459085:RXV459085 RNN459085:RNZ459085 RDR459085:RED459085 QTV459085:QUH459085 QJZ459085:QKL459085 QAD459085:QAP459085 PQH459085:PQT459085 PGL459085:PGX459085 OWP459085:OXB459085 OMT459085:ONF459085 OCX459085:ODJ459085 NTB459085:NTN459085 NJF459085:NJR459085 MZJ459085:MZV459085 MPN459085:MPZ459085 MFR459085:MGD459085 LVV459085:LWH459085 LLZ459085:LML459085 LCD459085:LCP459085 KSH459085:KST459085 KIL459085:KIX459085 JYP459085:JZB459085 JOT459085:JPF459085 JEX459085:JFJ459085 IVB459085:IVN459085 ILF459085:ILR459085 IBJ459085:IBV459085 HRN459085:HRZ459085 HHR459085:HID459085 GXV459085:GYH459085 GNZ459085:GOL459085 GED459085:GEP459085 FUH459085:FUT459085 FKL459085:FKX459085 FAP459085:FBB459085 EQT459085:ERF459085 EGX459085:EHJ459085 DXB459085:DXN459085 DNF459085:DNR459085 DDJ459085:DDV459085 CTN459085:CTZ459085 CJR459085:CKD459085 BZV459085:CAH459085 BPZ459085:BQL459085 BGD459085:BGP459085 AWH459085:AWT459085 AML459085:AMX459085 ACP459085:ADB459085 ST459085:TF459085 IX459085:JJ459085 WVJ393549:WVV393549 WLN393549:WLZ393549 WBR393549:WCD393549 VRV393549:VSH393549 VHZ393549:VIL393549 UYD393549:UYP393549 UOH393549:UOT393549 UEL393549:UEX393549 TUP393549:TVB393549 TKT393549:TLF393549 TAX393549:TBJ393549 SRB393549:SRN393549 SHF393549:SHR393549 RXJ393549:RXV393549 RNN393549:RNZ393549 RDR393549:RED393549 QTV393549:QUH393549 QJZ393549:QKL393549 QAD393549:QAP393549 PQH393549:PQT393549 PGL393549:PGX393549 OWP393549:OXB393549 OMT393549:ONF393549 OCX393549:ODJ393549 NTB393549:NTN393549 NJF393549:NJR393549 MZJ393549:MZV393549 MPN393549:MPZ393549 MFR393549:MGD393549 LVV393549:LWH393549 LLZ393549:LML393549 LCD393549:LCP393549 KSH393549:KST393549 KIL393549:KIX393549 JYP393549:JZB393549 JOT393549:JPF393549 JEX393549:JFJ393549 IVB393549:IVN393549 ILF393549:ILR393549 IBJ393549:IBV393549 HRN393549:HRZ393549 HHR393549:HID393549 GXV393549:GYH393549 GNZ393549:GOL393549 GED393549:GEP393549 FUH393549:FUT393549 FKL393549:FKX393549 FAP393549:FBB393549 EQT393549:ERF393549 EGX393549:EHJ393549 DXB393549:DXN393549 DNF393549:DNR393549 DDJ393549:DDV393549 CTN393549:CTZ393549 CJR393549:CKD393549 BZV393549:CAH393549 BPZ393549:BQL393549 BGD393549:BGP393549 AWH393549:AWT393549 AML393549:AMX393549 ACP393549:ADB393549 ST393549:TF393549 IX393549:JJ393549 WVJ328013:WVV328013 WLN328013:WLZ328013 WBR328013:WCD328013 VRV328013:VSH328013 VHZ328013:VIL328013 UYD328013:UYP328013 UOH328013:UOT328013 UEL328013:UEX328013 TUP328013:TVB328013 TKT328013:TLF328013 TAX328013:TBJ328013 SRB328013:SRN328013 SHF328013:SHR328013 RXJ328013:RXV328013 RNN328013:RNZ328013 RDR328013:RED328013 QTV328013:QUH328013 QJZ328013:QKL328013 QAD328013:QAP328013 PQH328013:PQT328013 PGL328013:PGX328013 OWP328013:OXB328013 OMT328013:ONF328013 OCX328013:ODJ328013 NTB328013:NTN328013 NJF328013:NJR328013 MZJ328013:MZV328013 MPN328013:MPZ328013 MFR328013:MGD328013 LVV328013:LWH328013 LLZ328013:LML328013 LCD328013:LCP328013 KSH328013:KST328013 KIL328013:KIX328013 JYP328013:JZB328013 JOT328013:JPF328013 JEX328013:JFJ328013 IVB328013:IVN328013 ILF328013:ILR328013 IBJ328013:IBV328013 HRN328013:HRZ328013 HHR328013:HID328013 GXV328013:GYH328013 GNZ328013:GOL328013 GED328013:GEP328013 FUH328013:FUT328013 FKL328013:FKX328013 FAP328013:FBB328013 EQT328013:ERF328013 EGX328013:EHJ328013 DXB328013:DXN328013 DNF328013:DNR328013 DDJ328013:DDV328013 CTN328013:CTZ328013 CJR328013:CKD328013 BZV328013:CAH328013 BPZ328013:BQL328013 BGD328013:BGP328013 AWH328013:AWT328013 AML328013:AMX328013 ACP328013:ADB328013 ST328013:TF328013 IX328013:JJ328013 WVJ262477:WVV262477 WLN262477:WLZ262477 WBR262477:WCD262477 VRV262477:VSH262477 VHZ262477:VIL262477 UYD262477:UYP262477 UOH262477:UOT262477 UEL262477:UEX262477 TUP262477:TVB262477 TKT262477:TLF262477 TAX262477:TBJ262477 SRB262477:SRN262477 SHF262477:SHR262477 RXJ262477:RXV262477 RNN262477:RNZ262477 RDR262477:RED262477 QTV262477:QUH262477 QJZ262477:QKL262477 QAD262477:QAP262477 PQH262477:PQT262477 PGL262477:PGX262477 OWP262477:OXB262477 OMT262477:ONF262477 OCX262477:ODJ262477 NTB262477:NTN262477 NJF262477:NJR262477 MZJ262477:MZV262477 MPN262477:MPZ262477 MFR262477:MGD262477 LVV262477:LWH262477 LLZ262477:LML262477 LCD262477:LCP262477 KSH262477:KST262477 KIL262477:KIX262477 JYP262477:JZB262477 JOT262477:JPF262477 JEX262477:JFJ262477 IVB262477:IVN262477 ILF262477:ILR262477 IBJ262477:IBV262477 HRN262477:HRZ262477 HHR262477:HID262477 GXV262477:GYH262477 GNZ262477:GOL262477 GED262477:GEP262477 FUH262477:FUT262477 FKL262477:FKX262477 FAP262477:FBB262477 EQT262477:ERF262477 EGX262477:EHJ262477 DXB262477:DXN262477 DNF262477:DNR262477 DDJ262477:DDV262477 CTN262477:CTZ262477 CJR262477:CKD262477 BZV262477:CAH262477 BPZ262477:BQL262477 BGD262477:BGP262477 AWH262477:AWT262477 AML262477:AMX262477 ACP262477:ADB262477 ST262477:TF262477 IX262477:JJ262477 WVJ196941:WVV196941 WLN196941:WLZ196941 WBR196941:WCD196941 VRV196941:VSH196941 VHZ196941:VIL196941 UYD196941:UYP196941 UOH196941:UOT196941 UEL196941:UEX196941 TUP196941:TVB196941 TKT196941:TLF196941 TAX196941:TBJ196941 SRB196941:SRN196941 SHF196941:SHR196941 RXJ196941:RXV196941 RNN196941:RNZ196941 RDR196941:RED196941 QTV196941:QUH196941 QJZ196941:QKL196941 QAD196941:QAP196941 PQH196941:PQT196941 PGL196941:PGX196941 OWP196941:OXB196941 OMT196941:ONF196941 OCX196941:ODJ196941 NTB196941:NTN196941 NJF196941:NJR196941 MZJ196941:MZV196941 MPN196941:MPZ196941 MFR196941:MGD196941 LVV196941:LWH196941 LLZ196941:LML196941 LCD196941:LCP196941 KSH196941:KST196941 KIL196941:KIX196941 JYP196941:JZB196941 JOT196941:JPF196941 JEX196941:JFJ196941 IVB196941:IVN196941 ILF196941:ILR196941 IBJ196941:IBV196941 HRN196941:HRZ196941 HHR196941:HID196941 GXV196941:GYH196941 GNZ196941:GOL196941 GED196941:GEP196941 FUH196941:FUT196941 FKL196941:FKX196941 FAP196941:FBB196941 EQT196941:ERF196941 EGX196941:EHJ196941 DXB196941:DXN196941 DNF196941:DNR196941 DDJ196941:DDV196941 CTN196941:CTZ196941 CJR196941:CKD196941 BZV196941:CAH196941 BPZ196941:BQL196941 BGD196941:BGP196941 AWH196941:AWT196941 AML196941:AMX196941 ACP196941:ADB196941 ST196941:TF196941 IX196941:JJ196941 WVJ131405:WVV131405 WLN131405:WLZ131405 WBR131405:WCD131405 VRV131405:VSH131405 VHZ131405:VIL131405 UYD131405:UYP131405 UOH131405:UOT131405 UEL131405:UEX131405 TUP131405:TVB131405 TKT131405:TLF131405 TAX131405:TBJ131405 SRB131405:SRN131405 SHF131405:SHR131405 RXJ131405:RXV131405 RNN131405:RNZ131405 RDR131405:RED131405 QTV131405:QUH131405 QJZ131405:QKL131405 QAD131405:QAP131405 PQH131405:PQT131405 PGL131405:PGX131405 OWP131405:OXB131405 OMT131405:ONF131405 OCX131405:ODJ131405 NTB131405:NTN131405 NJF131405:NJR131405 MZJ131405:MZV131405 MPN131405:MPZ131405 MFR131405:MGD131405 LVV131405:LWH131405 LLZ131405:LML131405 LCD131405:LCP131405 KSH131405:KST131405 KIL131405:KIX131405 JYP131405:JZB131405 JOT131405:JPF131405 JEX131405:JFJ131405 IVB131405:IVN131405 ILF131405:ILR131405 IBJ131405:IBV131405 HRN131405:HRZ131405 HHR131405:HID131405 GXV131405:GYH131405 GNZ131405:GOL131405 GED131405:GEP131405 FUH131405:FUT131405 FKL131405:FKX131405 FAP131405:FBB131405 EQT131405:ERF131405 EGX131405:EHJ131405 DXB131405:DXN131405 DNF131405:DNR131405 DDJ131405:DDV131405 CTN131405:CTZ131405 CJR131405:CKD131405 BZV131405:CAH131405 BPZ131405:BQL131405 BGD131405:BGP131405 AWH131405:AWT131405 AML131405:AMX131405 ACP131405:ADB131405 ST131405:TF131405 IX131405:JJ131405 WVJ65869:WVV65869 WLN65869:WLZ65869 WBR65869:WCD65869 VRV65869:VSH65869 VHZ65869:VIL65869 UYD65869:UYP65869 UOH65869:UOT65869 UEL65869:UEX65869 TUP65869:TVB65869 TKT65869:TLF65869 TAX65869:TBJ65869 SRB65869:SRN65869 SHF65869:SHR65869 RXJ65869:RXV65869 RNN65869:RNZ65869 RDR65869:RED65869 QTV65869:QUH65869 QJZ65869:QKL65869 QAD65869:QAP65869 PQH65869:PQT65869 PGL65869:PGX65869 OWP65869:OXB65869 OMT65869:ONF65869 OCX65869:ODJ65869 NTB65869:NTN65869 NJF65869:NJR65869 MZJ65869:MZV65869 MPN65869:MPZ65869 MFR65869:MGD65869 LVV65869:LWH65869 LLZ65869:LML65869 LCD65869:LCP65869 KSH65869:KST65869 KIL65869:KIX65869 JYP65869:JZB65869 JOT65869:JPF65869 JEX65869:JFJ65869 IVB65869:IVN65869 ILF65869:ILR65869 IBJ65869:IBV65869 HRN65869:HRZ65869 HHR65869:HID65869 GXV65869:GYH65869 GNZ65869:GOL65869 GED65869:GEP65869 FUH65869:FUT65869 FKL65869:FKX65869 FAP65869:FBB65869 EQT65869:ERF65869 EGX65869:EHJ65869 DXB65869:DXN65869 DNF65869:DNR65869 DDJ65869:DDV65869 CTN65869:CTZ65869 CJR65869:CKD65869 BZV65869:CAH65869 BPZ65869:BQL65869 BGD65869:BGP65869 AWH65869:AWT65869 AML65869:AMX65869 ACP65869:ADB65869 ST65869:TF65869 IX65869:JJ65869 WVJ331:WVV331 WLN331:WLZ331 WBR331:WCD331 VRV331:VSH331 VHZ331:VIL331 UYD331:UYP331 UOH331:UOT331 UEL331:UEX331 TUP331:TVB331 TKT331:TLF331 TAX331:TBJ331 SRB331:SRN331 SHF331:SHR331 RXJ331:RXV331 RNN331:RNZ331 RDR331:RED331 QTV331:QUH331 QJZ331:QKL331 QAD331:QAP331 PQH331:PQT331 PGL331:PGX331 OWP331:OXB331 OMT331:ONF331 OCX331:ODJ331 NTB331:NTN331 NJF331:NJR331 MZJ331:MZV331 MPN331:MPZ331 MFR331:MGD331 LVV331:LWH331 LLZ331:LML331 LCD331:LCP331 KSH331:KST331 KIL331:KIX331 JYP331:JZB331 JOT331:JPF331 JEX331:JFJ331 IVB331:IVN331 ILF331:ILR331 IBJ331:IBV331 HRN331:HRZ331 HHR331:HID331 GXV331:GYH331 GNZ331:GOL331 GED331:GEP331 FUH331:FUT331 FKL331:FKX331 FAP331:FBB331 EQT331:ERF331 EGX331:EHJ331 DXB331:DXN331 DNF331:DNR331 DDJ331:DDV331 CTN331:CTZ331 CJR331:CKD331 BZV331:CAH331 BPZ331:BQL331 BGD331:BGP331 AWH331:AWT331 AML331:AMX331 ACP331:ADB331 ST331:TF331 IX331:JJ331 WVG983398:WVV983398 WLK983398:WLZ983398 WBO983398:WCD983398 VRS983398:VSH983398 VHW983398:VIL983398 UYA983398:UYP983398 UOE983398:UOT983398 UEI983398:UEX983398 TUM983398:TVB983398 TKQ983398:TLF983398 TAU983398:TBJ983398 SQY983398:SRN983398 SHC983398:SHR983398 RXG983398:RXV983398 RNK983398:RNZ983398 RDO983398:RED983398 QTS983398:QUH983398 QJW983398:QKL983398 QAA983398:QAP983398 PQE983398:PQT983398 PGI983398:PGX983398 OWM983398:OXB983398 OMQ983398:ONF983398 OCU983398:ODJ983398 NSY983398:NTN983398 NJC983398:NJR983398 MZG983398:MZV983398 MPK983398:MPZ983398 MFO983398:MGD983398 LVS983398:LWH983398 LLW983398:LML983398 LCA983398:LCP983398 KSE983398:KST983398 KII983398:KIX983398 JYM983398:JZB983398 JOQ983398:JPF983398 JEU983398:JFJ983398 IUY983398:IVN983398 ILC983398:ILR983398 IBG983398:IBV983398 HRK983398:HRZ983398 HHO983398:HID983398 GXS983398:GYH983398 GNW983398:GOL983398 GEA983398:GEP983398 FUE983398:FUT983398 FKI983398:FKX983398 FAM983398:FBB983398 EQQ983398:ERF983398 EGU983398:EHJ983398 DWY983398:DXN983398 DNC983398:DNR983398 DDG983398:DDV983398 CTK983398:CTZ983398 CJO983398:CKD983398 BZS983398:CAH983398 BPW983398:BQL983398 BGA983398:BGP983398 AWE983398:AWT983398 AMI983398:AMX983398 ACM983398:ADB983398 SQ983398:TF983398 IU983398:JJ983398 WVG917862:WVV917862 WLK917862:WLZ917862 WBO917862:WCD917862 VRS917862:VSH917862 VHW917862:VIL917862 UYA917862:UYP917862 UOE917862:UOT917862 UEI917862:UEX917862 TUM917862:TVB917862 TKQ917862:TLF917862 TAU917862:TBJ917862 SQY917862:SRN917862 SHC917862:SHR917862 RXG917862:RXV917862 RNK917862:RNZ917862 RDO917862:RED917862 QTS917862:QUH917862 QJW917862:QKL917862 QAA917862:QAP917862 PQE917862:PQT917862 PGI917862:PGX917862 OWM917862:OXB917862 OMQ917862:ONF917862 OCU917862:ODJ917862 NSY917862:NTN917862 NJC917862:NJR917862 MZG917862:MZV917862 MPK917862:MPZ917862 MFO917862:MGD917862 LVS917862:LWH917862 LLW917862:LML917862 LCA917862:LCP917862 KSE917862:KST917862 KII917862:KIX917862 JYM917862:JZB917862 JOQ917862:JPF917862 JEU917862:JFJ917862 IUY917862:IVN917862 ILC917862:ILR917862 IBG917862:IBV917862 HRK917862:HRZ917862 HHO917862:HID917862 GXS917862:GYH917862 GNW917862:GOL917862 GEA917862:GEP917862 FUE917862:FUT917862 FKI917862:FKX917862 FAM917862:FBB917862 EQQ917862:ERF917862 EGU917862:EHJ917862 DWY917862:DXN917862 DNC917862:DNR917862 DDG917862:DDV917862 CTK917862:CTZ917862 CJO917862:CKD917862 BZS917862:CAH917862 BPW917862:BQL917862 BGA917862:BGP917862 AWE917862:AWT917862 AMI917862:AMX917862 ACM917862:ADB917862 SQ917862:TF917862 IU917862:JJ917862 WVG852326:WVV852326 WLK852326:WLZ852326 WBO852326:WCD852326 VRS852326:VSH852326 VHW852326:VIL852326 UYA852326:UYP852326 UOE852326:UOT852326 UEI852326:UEX852326 TUM852326:TVB852326 TKQ852326:TLF852326 TAU852326:TBJ852326 SQY852326:SRN852326 SHC852326:SHR852326 RXG852326:RXV852326 RNK852326:RNZ852326 RDO852326:RED852326 QTS852326:QUH852326 QJW852326:QKL852326 QAA852326:QAP852326 PQE852326:PQT852326 PGI852326:PGX852326 OWM852326:OXB852326 OMQ852326:ONF852326 OCU852326:ODJ852326 NSY852326:NTN852326 NJC852326:NJR852326 MZG852326:MZV852326 MPK852326:MPZ852326 MFO852326:MGD852326 LVS852326:LWH852326 LLW852326:LML852326 LCA852326:LCP852326 KSE852326:KST852326 KII852326:KIX852326 JYM852326:JZB852326 JOQ852326:JPF852326 JEU852326:JFJ852326 IUY852326:IVN852326 ILC852326:ILR852326 IBG852326:IBV852326 HRK852326:HRZ852326 HHO852326:HID852326 GXS852326:GYH852326 GNW852326:GOL852326 GEA852326:GEP852326 FUE852326:FUT852326 FKI852326:FKX852326 FAM852326:FBB852326 EQQ852326:ERF852326 EGU852326:EHJ852326 DWY852326:DXN852326 DNC852326:DNR852326 DDG852326:DDV852326 CTK852326:CTZ852326 CJO852326:CKD852326 BZS852326:CAH852326 BPW852326:BQL852326 BGA852326:BGP852326 AWE852326:AWT852326 AMI852326:AMX852326 ACM852326:ADB852326 SQ852326:TF852326 IU852326:JJ852326 WVG786790:WVV786790 WLK786790:WLZ786790 WBO786790:WCD786790 VRS786790:VSH786790 VHW786790:VIL786790 UYA786790:UYP786790 UOE786790:UOT786790 UEI786790:UEX786790 TUM786790:TVB786790 TKQ786790:TLF786790 TAU786790:TBJ786790 SQY786790:SRN786790 SHC786790:SHR786790 RXG786790:RXV786790 RNK786790:RNZ786790 RDO786790:RED786790 QTS786790:QUH786790 QJW786790:QKL786790 QAA786790:QAP786790 PQE786790:PQT786790 PGI786790:PGX786790 OWM786790:OXB786790 OMQ786790:ONF786790 OCU786790:ODJ786790 NSY786790:NTN786790 NJC786790:NJR786790 MZG786790:MZV786790 MPK786790:MPZ786790 MFO786790:MGD786790 LVS786790:LWH786790 LLW786790:LML786790 LCA786790:LCP786790 KSE786790:KST786790 KII786790:KIX786790 JYM786790:JZB786790 JOQ786790:JPF786790 JEU786790:JFJ786790 IUY786790:IVN786790 ILC786790:ILR786790 IBG786790:IBV786790 HRK786790:HRZ786790 HHO786790:HID786790 GXS786790:GYH786790 GNW786790:GOL786790 GEA786790:GEP786790 FUE786790:FUT786790 FKI786790:FKX786790 FAM786790:FBB786790 EQQ786790:ERF786790 EGU786790:EHJ786790 DWY786790:DXN786790 DNC786790:DNR786790 DDG786790:DDV786790 CTK786790:CTZ786790 CJO786790:CKD786790 BZS786790:CAH786790 BPW786790:BQL786790 BGA786790:BGP786790 AWE786790:AWT786790 AMI786790:AMX786790 ACM786790:ADB786790 SQ786790:TF786790 IU786790:JJ786790 WVG721254:WVV721254 WLK721254:WLZ721254 WBO721254:WCD721254 VRS721254:VSH721254 VHW721254:VIL721254 UYA721254:UYP721254 UOE721254:UOT721254 UEI721254:UEX721254 TUM721254:TVB721254 TKQ721254:TLF721254 TAU721254:TBJ721254 SQY721254:SRN721254 SHC721254:SHR721254 RXG721254:RXV721254 RNK721254:RNZ721254 RDO721254:RED721254 QTS721254:QUH721254 QJW721254:QKL721254 QAA721254:QAP721254 PQE721254:PQT721254 PGI721254:PGX721254 OWM721254:OXB721254 OMQ721254:ONF721254 OCU721254:ODJ721254 NSY721254:NTN721254 NJC721254:NJR721254 MZG721254:MZV721254 MPK721254:MPZ721254 MFO721254:MGD721254 LVS721254:LWH721254 LLW721254:LML721254 LCA721254:LCP721254 KSE721254:KST721254 KII721254:KIX721254 JYM721254:JZB721254 JOQ721254:JPF721254 JEU721254:JFJ721254 IUY721254:IVN721254 ILC721254:ILR721254 IBG721254:IBV721254 HRK721254:HRZ721254 HHO721254:HID721254 GXS721254:GYH721254 GNW721254:GOL721254 GEA721254:GEP721254 FUE721254:FUT721254 FKI721254:FKX721254 FAM721254:FBB721254 EQQ721254:ERF721254 EGU721254:EHJ721254 DWY721254:DXN721254 DNC721254:DNR721254 DDG721254:DDV721254 CTK721254:CTZ721254 CJO721254:CKD721254 BZS721254:CAH721254 BPW721254:BQL721254 BGA721254:BGP721254 AWE721254:AWT721254 AMI721254:AMX721254 ACM721254:ADB721254 SQ721254:TF721254 IU721254:JJ721254 WVG655718:WVV655718 WLK655718:WLZ655718 WBO655718:WCD655718 VRS655718:VSH655718 VHW655718:VIL655718 UYA655718:UYP655718 UOE655718:UOT655718 UEI655718:UEX655718 TUM655718:TVB655718 TKQ655718:TLF655718 TAU655718:TBJ655718 SQY655718:SRN655718 SHC655718:SHR655718 RXG655718:RXV655718 RNK655718:RNZ655718 RDO655718:RED655718 QTS655718:QUH655718 QJW655718:QKL655718 QAA655718:QAP655718 PQE655718:PQT655718 PGI655718:PGX655718 OWM655718:OXB655718 OMQ655718:ONF655718 OCU655718:ODJ655718 NSY655718:NTN655718 NJC655718:NJR655718 MZG655718:MZV655718 MPK655718:MPZ655718 MFO655718:MGD655718 LVS655718:LWH655718 LLW655718:LML655718 LCA655718:LCP655718 KSE655718:KST655718 KII655718:KIX655718 JYM655718:JZB655718 JOQ655718:JPF655718 JEU655718:JFJ655718 IUY655718:IVN655718 ILC655718:ILR655718 IBG655718:IBV655718 HRK655718:HRZ655718 HHO655718:HID655718 GXS655718:GYH655718 GNW655718:GOL655718 GEA655718:GEP655718 FUE655718:FUT655718 FKI655718:FKX655718 FAM655718:FBB655718 EQQ655718:ERF655718 EGU655718:EHJ655718 DWY655718:DXN655718 DNC655718:DNR655718 DDG655718:DDV655718 CTK655718:CTZ655718 CJO655718:CKD655718 BZS655718:CAH655718 BPW655718:BQL655718 BGA655718:BGP655718 AWE655718:AWT655718 AMI655718:AMX655718 ACM655718:ADB655718 SQ655718:TF655718 IU655718:JJ655718 WVG590182:WVV590182 WLK590182:WLZ590182 WBO590182:WCD590182 VRS590182:VSH590182 VHW590182:VIL590182 UYA590182:UYP590182 UOE590182:UOT590182 UEI590182:UEX590182 TUM590182:TVB590182 TKQ590182:TLF590182 TAU590182:TBJ590182 SQY590182:SRN590182 SHC590182:SHR590182 RXG590182:RXV590182 RNK590182:RNZ590182 RDO590182:RED590182 QTS590182:QUH590182 QJW590182:QKL590182 QAA590182:QAP590182 PQE590182:PQT590182 PGI590182:PGX590182 OWM590182:OXB590182 OMQ590182:ONF590182 OCU590182:ODJ590182 NSY590182:NTN590182 NJC590182:NJR590182 MZG590182:MZV590182 MPK590182:MPZ590182 MFO590182:MGD590182 LVS590182:LWH590182 LLW590182:LML590182 LCA590182:LCP590182 KSE590182:KST590182 KII590182:KIX590182 JYM590182:JZB590182 JOQ590182:JPF590182 JEU590182:JFJ590182 IUY590182:IVN590182 ILC590182:ILR590182 IBG590182:IBV590182 HRK590182:HRZ590182 HHO590182:HID590182 GXS590182:GYH590182 GNW590182:GOL590182 GEA590182:GEP590182 FUE590182:FUT590182 FKI590182:FKX590182 FAM590182:FBB590182 EQQ590182:ERF590182 EGU590182:EHJ590182 DWY590182:DXN590182 DNC590182:DNR590182 DDG590182:DDV590182 CTK590182:CTZ590182 CJO590182:CKD590182 BZS590182:CAH590182 BPW590182:BQL590182 BGA590182:BGP590182 AWE590182:AWT590182 AMI590182:AMX590182 ACM590182:ADB590182 SQ590182:TF590182 IU590182:JJ590182 WVG524646:WVV524646 WLK524646:WLZ524646 WBO524646:WCD524646 VRS524646:VSH524646 VHW524646:VIL524646 UYA524646:UYP524646 UOE524646:UOT524646 UEI524646:UEX524646 TUM524646:TVB524646 TKQ524646:TLF524646 TAU524646:TBJ524646 SQY524646:SRN524646 SHC524646:SHR524646 RXG524646:RXV524646 RNK524646:RNZ524646 RDO524646:RED524646 QTS524646:QUH524646 QJW524646:QKL524646 QAA524646:QAP524646 PQE524646:PQT524646 PGI524646:PGX524646 OWM524646:OXB524646 OMQ524646:ONF524646 OCU524646:ODJ524646 NSY524646:NTN524646 NJC524646:NJR524646 MZG524646:MZV524646 MPK524646:MPZ524646 MFO524646:MGD524646 LVS524646:LWH524646 LLW524646:LML524646 LCA524646:LCP524646 KSE524646:KST524646 KII524646:KIX524646 JYM524646:JZB524646 JOQ524646:JPF524646 JEU524646:JFJ524646 IUY524646:IVN524646 ILC524646:ILR524646 IBG524646:IBV524646 HRK524646:HRZ524646 HHO524646:HID524646 GXS524646:GYH524646 GNW524646:GOL524646 GEA524646:GEP524646 FUE524646:FUT524646 FKI524646:FKX524646 FAM524646:FBB524646 EQQ524646:ERF524646 EGU524646:EHJ524646 DWY524646:DXN524646 DNC524646:DNR524646 DDG524646:DDV524646 CTK524646:CTZ524646 CJO524646:CKD524646 BZS524646:CAH524646 BPW524646:BQL524646 BGA524646:BGP524646 AWE524646:AWT524646 AMI524646:AMX524646 ACM524646:ADB524646 SQ524646:TF524646 IU524646:JJ524646 WVG459110:WVV459110 WLK459110:WLZ459110 WBO459110:WCD459110 VRS459110:VSH459110 VHW459110:VIL459110 UYA459110:UYP459110 UOE459110:UOT459110 UEI459110:UEX459110 TUM459110:TVB459110 TKQ459110:TLF459110 TAU459110:TBJ459110 SQY459110:SRN459110 SHC459110:SHR459110 RXG459110:RXV459110 RNK459110:RNZ459110 RDO459110:RED459110 QTS459110:QUH459110 QJW459110:QKL459110 QAA459110:QAP459110 PQE459110:PQT459110 PGI459110:PGX459110 OWM459110:OXB459110 OMQ459110:ONF459110 OCU459110:ODJ459110 NSY459110:NTN459110 NJC459110:NJR459110 MZG459110:MZV459110 MPK459110:MPZ459110 MFO459110:MGD459110 LVS459110:LWH459110 LLW459110:LML459110 LCA459110:LCP459110 KSE459110:KST459110 KII459110:KIX459110 JYM459110:JZB459110 JOQ459110:JPF459110 JEU459110:JFJ459110 IUY459110:IVN459110 ILC459110:ILR459110 IBG459110:IBV459110 HRK459110:HRZ459110 HHO459110:HID459110 GXS459110:GYH459110 GNW459110:GOL459110 GEA459110:GEP459110 FUE459110:FUT459110 FKI459110:FKX459110 FAM459110:FBB459110 EQQ459110:ERF459110 EGU459110:EHJ459110 DWY459110:DXN459110 DNC459110:DNR459110 DDG459110:DDV459110 CTK459110:CTZ459110 CJO459110:CKD459110 BZS459110:CAH459110 BPW459110:BQL459110 BGA459110:BGP459110 AWE459110:AWT459110 AMI459110:AMX459110 ACM459110:ADB459110 SQ459110:TF459110 IU459110:JJ459110 WVG393574:WVV393574 WLK393574:WLZ393574 WBO393574:WCD393574 VRS393574:VSH393574 VHW393574:VIL393574 UYA393574:UYP393574 UOE393574:UOT393574 UEI393574:UEX393574 TUM393574:TVB393574 TKQ393574:TLF393574 TAU393574:TBJ393574 SQY393574:SRN393574 SHC393574:SHR393574 RXG393574:RXV393574 RNK393574:RNZ393574 RDO393574:RED393574 QTS393574:QUH393574 QJW393574:QKL393574 QAA393574:QAP393574 PQE393574:PQT393574 PGI393574:PGX393574 OWM393574:OXB393574 OMQ393574:ONF393574 OCU393574:ODJ393574 NSY393574:NTN393574 NJC393574:NJR393574 MZG393574:MZV393574 MPK393574:MPZ393574 MFO393574:MGD393574 LVS393574:LWH393574 LLW393574:LML393574 LCA393574:LCP393574 KSE393574:KST393574 KII393574:KIX393574 JYM393574:JZB393574 JOQ393574:JPF393574 JEU393574:JFJ393574 IUY393574:IVN393574 ILC393574:ILR393574 IBG393574:IBV393574 HRK393574:HRZ393574 HHO393574:HID393574 GXS393574:GYH393574 GNW393574:GOL393574 GEA393574:GEP393574 FUE393574:FUT393574 FKI393574:FKX393574 FAM393574:FBB393574 EQQ393574:ERF393574 EGU393574:EHJ393574 DWY393574:DXN393574 DNC393574:DNR393574 DDG393574:DDV393574 CTK393574:CTZ393574 CJO393574:CKD393574 BZS393574:CAH393574 BPW393574:BQL393574 BGA393574:BGP393574 AWE393574:AWT393574 AMI393574:AMX393574 ACM393574:ADB393574 SQ393574:TF393574 IU393574:JJ393574 WVG328038:WVV328038 WLK328038:WLZ328038 WBO328038:WCD328038 VRS328038:VSH328038 VHW328038:VIL328038 UYA328038:UYP328038 UOE328038:UOT328038 UEI328038:UEX328038 TUM328038:TVB328038 TKQ328038:TLF328038 TAU328038:TBJ328038 SQY328038:SRN328038 SHC328038:SHR328038 RXG328038:RXV328038 RNK328038:RNZ328038 RDO328038:RED328038 QTS328038:QUH328038 QJW328038:QKL328038 QAA328038:QAP328038 PQE328038:PQT328038 PGI328038:PGX328038 OWM328038:OXB328038 OMQ328038:ONF328038 OCU328038:ODJ328038 NSY328038:NTN328038 NJC328038:NJR328038 MZG328038:MZV328038 MPK328038:MPZ328038 MFO328038:MGD328038 LVS328038:LWH328038 LLW328038:LML328038 LCA328038:LCP328038 KSE328038:KST328038 KII328038:KIX328038 JYM328038:JZB328038 JOQ328038:JPF328038 JEU328038:JFJ328038 IUY328038:IVN328038 ILC328038:ILR328038 IBG328038:IBV328038 HRK328038:HRZ328038 HHO328038:HID328038 GXS328038:GYH328038 GNW328038:GOL328038 GEA328038:GEP328038 FUE328038:FUT328038 FKI328038:FKX328038 FAM328038:FBB328038 EQQ328038:ERF328038 EGU328038:EHJ328038 DWY328038:DXN328038 DNC328038:DNR328038 DDG328038:DDV328038 CTK328038:CTZ328038 CJO328038:CKD328038 BZS328038:CAH328038 BPW328038:BQL328038 BGA328038:BGP328038 AWE328038:AWT328038 AMI328038:AMX328038 ACM328038:ADB328038 SQ328038:TF328038 IU328038:JJ328038 WVG262502:WVV262502 WLK262502:WLZ262502 WBO262502:WCD262502 VRS262502:VSH262502 VHW262502:VIL262502 UYA262502:UYP262502 UOE262502:UOT262502 UEI262502:UEX262502 TUM262502:TVB262502 TKQ262502:TLF262502 TAU262502:TBJ262502 SQY262502:SRN262502 SHC262502:SHR262502 RXG262502:RXV262502 RNK262502:RNZ262502 RDO262502:RED262502 QTS262502:QUH262502 QJW262502:QKL262502 QAA262502:QAP262502 PQE262502:PQT262502 PGI262502:PGX262502 OWM262502:OXB262502 OMQ262502:ONF262502 OCU262502:ODJ262502 NSY262502:NTN262502 NJC262502:NJR262502 MZG262502:MZV262502 MPK262502:MPZ262502 MFO262502:MGD262502 LVS262502:LWH262502 LLW262502:LML262502 LCA262502:LCP262502 KSE262502:KST262502 KII262502:KIX262502 JYM262502:JZB262502 JOQ262502:JPF262502 JEU262502:JFJ262502 IUY262502:IVN262502 ILC262502:ILR262502 IBG262502:IBV262502 HRK262502:HRZ262502 HHO262502:HID262502 GXS262502:GYH262502 GNW262502:GOL262502 GEA262502:GEP262502 FUE262502:FUT262502 FKI262502:FKX262502 FAM262502:FBB262502 EQQ262502:ERF262502 EGU262502:EHJ262502 DWY262502:DXN262502 DNC262502:DNR262502 DDG262502:DDV262502 CTK262502:CTZ262502 CJO262502:CKD262502 BZS262502:CAH262502 BPW262502:BQL262502 BGA262502:BGP262502 AWE262502:AWT262502 AMI262502:AMX262502 ACM262502:ADB262502 SQ262502:TF262502 IU262502:JJ262502 WVG196966:WVV196966 WLK196966:WLZ196966 WBO196966:WCD196966 VRS196966:VSH196966 VHW196966:VIL196966 UYA196966:UYP196966 UOE196966:UOT196966 UEI196966:UEX196966 TUM196966:TVB196966 TKQ196966:TLF196966 TAU196966:TBJ196966 SQY196966:SRN196966 SHC196966:SHR196966 RXG196966:RXV196966 RNK196966:RNZ196966 RDO196966:RED196966 QTS196966:QUH196966 QJW196966:QKL196966 QAA196966:QAP196966 PQE196966:PQT196966 PGI196966:PGX196966 OWM196966:OXB196966 OMQ196966:ONF196966 OCU196966:ODJ196966 NSY196966:NTN196966 NJC196966:NJR196966 MZG196966:MZV196966 MPK196966:MPZ196966 MFO196966:MGD196966 LVS196966:LWH196966 LLW196966:LML196966 LCA196966:LCP196966 KSE196966:KST196966 KII196966:KIX196966 JYM196966:JZB196966 JOQ196966:JPF196966 JEU196966:JFJ196966 IUY196966:IVN196966 ILC196966:ILR196966 IBG196966:IBV196966 HRK196966:HRZ196966 HHO196966:HID196966 GXS196966:GYH196966 GNW196966:GOL196966 GEA196966:GEP196966 FUE196966:FUT196966 FKI196966:FKX196966 FAM196966:FBB196966 EQQ196966:ERF196966 EGU196966:EHJ196966 DWY196966:DXN196966 DNC196966:DNR196966 DDG196966:DDV196966 CTK196966:CTZ196966 CJO196966:CKD196966 BZS196966:CAH196966 BPW196966:BQL196966 BGA196966:BGP196966 AWE196966:AWT196966 AMI196966:AMX196966 ACM196966:ADB196966 SQ196966:TF196966 IU196966:JJ196966 WVG131430:WVV131430 WLK131430:WLZ131430 WBO131430:WCD131430 VRS131430:VSH131430 VHW131430:VIL131430 UYA131430:UYP131430 UOE131430:UOT131430 UEI131430:UEX131430 TUM131430:TVB131430 TKQ131430:TLF131430 TAU131430:TBJ131430 SQY131430:SRN131430 SHC131430:SHR131430 RXG131430:RXV131430 RNK131430:RNZ131430 RDO131430:RED131430 QTS131430:QUH131430 QJW131430:QKL131430 QAA131430:QAP131430 PQE131430:PQT131430 PGI131430:PGX131430 OWM131430:OXB131430 OMQ131430:ONF131430 OCU131430:ODJ131430 NSY131430:NTN131430 NJC131430:NJR131430 MZG131430:MZV131430 MPK131430:MPZ131430 MFO131430:MGD131430 LVS131430:LWH131430 LLW131430:LML131430 LCA131430:LCP131430 KSE131430:KST131430 KII131430:KIX131430 JYM131430:JZB131430 JOQ131430:JPF131430 JEU131430:JFJ131430 IUY131430:IVN131430 ILC131430:ILR131430 IBG131430:IBV131430 HRK131430:HRZ131430 HHO131430:HID131430 GXS131430:GYH131430 GNW131430:GOL131430 GEA131430:GEP131430 FUE131430:FUT131430 FKI131430:FKX131430 FAM131430:FBB131430 EQQ131430:ERF131430 EGU131430:EHJ131430 DWY131430:DXN131430 DNC131430:DNR131430 DDG131430:DDV131430 CTK131430:CTZ131430 CJO131430:CKD131430 BZS131430:CAH131430 BPW131430:BQL131430 BGA131430:BGP131430 AWE131430:AWT131430 AMI131430:AMX131430 ACM131430:ADB131430 SQ131430:TF131430 IU131430:JJ131430 WVG65894:WVV65894 WLK65894:WLZ65894 WBO65894:WCD65894 VRS65894:VSH65894 VHW65894:VIL65894 UYA65894:UYP65894 UOE65894:UOT65894 UEI65894:UEX65894 TUM65894:TVB65894 TKQ65894:TLF65894 TAU65894:TBJ65894 SQY65894:SRN65894 SHC65894:SHR65894 RXG65894:RXV65894 RNK65894:RNZ65894 RDO65894:RED65894 QTS65894:QUH65894 QJW65894:QKL65894 QAA65894:QAP65894 PQE65894:PQT65894 PGI65894:PGX65894 OWM65894:OXB65894 OMQ65894:ONF65894 OCU65894:ODJ65894 NSY65894:NTN65894 NJC65894:NJR65894 MZG65894:MZV65894 MPK65894:MPZ65894 MFO65894:MGD65894 LVS65894:LWH65894 LLW65894:LML65894 LCA65894:LCP65894 KSE65894:KST65894 KII65894:KIX65894 JYM65894:JZB65894 JOQ65894:JPF65894 JEU65894:JFJ65894 IUY65894:IVN65894 ILC65894:ILR65894 IBG65894:IBV65894 HRK65894:HRZ65894 HHO65894:HID65894 GXS65894:GYH65894 GNW65894:GOL65894 GEA65894:GEP65894 FUE65894:FUT65894 FKI65894:FKX65894 FAM65894:FBB65894 EQQ65894:ERF65894 EGU65894:EHJ65894 DWY65894:DXN65894 DNC65894:DNR65894 DDG65894:DDV65894 CTK65894:CTZ65894 CJO65894:CKD65894 BZS65894:CAH65894 BPW65894:BQL65894 BGA65894:BGP65894 AWE65894:AWT65894 AMI65894:AMX65894 ACM65894:ADB65894 SQ65894:TF65894 IU65894:JJ65894 WVG359:WVV359 WLK359:WLZ359 WBO359:WCD359 VRS359:VSH359 VHW359:VIL359 UYA359:UYP359 UOE359:UOT359 UEI359:UEX359 TUM359:TVB359 TKQ359:TLF359 TAU359:TBJ359 SQY359:SRN359 SHC359:SHR359 RXG359:RXV359 RNK359:RNZ359 RDO359:RED359 QTS359:QUH359 QJW359:QKL359 QAA359:QAP359 PQE359:PQT359 PGI359:PGX359 OWM359:OXB359 OMQ359:ONF359 OCU359:ODJ359 NSY359:NTN359 NJC359:NJR359 MZG359:MZV359 MPK359:MPZ359 MFO359:MGD359 LVS359:LWH359 LLW359:LML359 LCA359:LCP359 KSE359:KST359 KII359:KIX359 JYM359:JZB359 JOQ359:JPF359 JEU359:JFJ359 IUY359:IVN359 ILC359:ILR359 IBG359:IBV359 HRK359:HRZ359 HHO359:HID359 GXS359:GYH359 GNW359:GOL359 GEA359:GEP359 FUE359:FUT359 FKI359:FKX359 FAM359:FBB359 EQQ359:ERF359 EGU359:EHJ359 DWY359:DXN359 DNC359:DNR359 DDG359:DDV359 CTK359:CTZ359 CJO359:CKD359 BZS359:CAH359 BPW359:BQL359 BGA359:BGP359 AWE359:AWT359 AMI359:AMX359 ACM359:ADB359 SQ359:TF359 IU359:JJ359 WVJ983475:WVV983475 WLN983475:WLZ983475 WBR983475:WCD983475 VRV983475:VSH983475 VHZ983475:VIL983475 UYD983475:UYP983475 UOH983475:UOT983475 UEL983475:UEX983475 TUP983475:TVB983475 TKT983475:TLF983475 TAX983475:TBJ983475 SRB983475:SRN983475 SHF983475:SHR983475 RXJ983475:RXV983475 RNN983475:RNZ983475 RDR983475:RED983475 QTV983475:QUH983475 QJZ983475:QKL983475 QAD983475:QAP983475 PQH983475:PQT983475 PGL983475:PGX983475 OWP983475:OXB983475 OMT983475:ONF983475 OCX983475:ODJ983475 NTB983475:NTN983475 NJF983475:NJR983475 MZJ983475:MZV983475 MPN983475:MPZ983475 MFR983475:MGD983475 LVV983475:LWH983475 LLZ983475:LML983475 LCD983475:LCP983475 KSH983475:KST983475 KIL983475:KIX983475 JYP983475:JZB983475 JOT983475:JPF983475 JEX983475:JFJ983475 IVB983475:IVN983475 ILF983475:ILR983475 IBJ983475:IBV983475 HRN983475:HRZ983475 HHR983475:HID983475 GXV983475:GYH983475 GNZ983475:GOL983475 GED983475:GEP983475 FUH983475:FUT983475 FKL983475:FKX983475 FAP983475:FBB983475 EQT983475:ERF983475 EGX983475:EHJ983475 DXB983475:DXN983475 DNF983475:DNR983475 DDJ983475:DDV983475 CTN983475:CTZ983475 CJR983475:CKD983475 BZV983475:CAH983475 BPZ983475:BQL983475 BGD983475:BGP983475 AWH983475:AWT983475 AML983475:AMX983475 ACP983475:ADB983475 ST983475:TF983475 IX983475:JJ983475 WVJ917939:WVV917939 WLN917939:WLZ917939 WBR917939:WCD917939 VRV917939:VSH917939 VHZ917939:VIL917939 UYD917939:UYP917939 UOH917939:UOT917939 UEL917939:UEX917939 TUP917939:TVB917939 TKT917939:TLF917939 TAX917939:TBJ917939 SRB917939:SRN917939 SHF917939:SHR917939 RXJ917939:RXV917939 RNN917939:RNZ917939 RDR917939:RED917939 QTV917939:QUH917939 QJZ917939:QKL917939 QAD917939:QAP917939 PQH917939:PQT917939 PGL917939:PGX917939 OWP917939:OXB917939 OMT917939:ONF917939 OCX917939:ODJ917939 NTB917939:NTN917939 NJF917939:NJR917939 MZJ917939:MZV917939 MPN917939:MPZ917939 MFR917939:MGD917939 LVV917939:LWH917939 LLZ917939:LML917939 LCD917939:LCP917939 KSH917939:KST917939 KIL917939:KIX917939 JYP917939:JZB917939 JOT917939:JPF917939 JEX917939:JFJ917939 IVB917939:IVN917939 ILF917939:ILR917939 IBJ917939:IBV917939 HRN917939:HRZ917939 HHR917939:HID917939 GXV917939:GYH917939 GNZ917939:GOL917939 GED917939:GEP917939 FUH917939:FUT917939 FKL917939:FKX917939 FAP917939:FBB917939 EQT917939:ERF917939 EGX917939:EHJ917939 DXB917939:DXN917939 DNF917939:DNR917939 DDJ917939:DDV917939 CTN917939:CTZ917939 CJR917939:CKD917939 BZV917939:CAH917939 BPZ917939:BQL917939 BGD917939:BGP917939 AWH917939:AWT917939 AML917939:AMX917939 ACP917939:ADB917939 ST917939:TF917939 IX917939:JJ917939 WVJ852403:WVV852403 WLN852403:WLZ852403 WBR852403:WCD852403 VRV852403:VSH852403 VHZ852403:VIL852403 UYD852403:UYP852403 UOH852403:UOT852403 UEL852403:UEX852403 TUP852403:TVB852403 TKT852403:TLF852403 TAX852403:TBJ852403 SRB852403:SRN852403 SHF852403:SHR852403 RXJ852403:RXV852403 RNN852403:RNZ852403 RDR852403:RED852403 QTV852403:QUH852403 QJZ852403:QKL852403 QAD852403:QAP852403 PQH852403:PQT852403 PGL852403:PGX852403 OWP852403:OXB852403 OMT852403:ONF852403 OCX852403:ODJ852403 NTB852403:NTN852403 NJF852403:NJR852403 MZJ852403:MZV852403 MPN852403:MPZ852403 MFR852403:MGD852403 LVV852403:LWH852403 LLZ852403:LML852403 LCD852403:LCP852403 KSH852403:KST852403 KIL852403:KIX852403 JYP852403:JZB852403 JOT852403:JPF852403 JEX852403:JFJ852403 IVB852403:IVN852403 ILF852403:ILR852403 IBJ852403:IBV852403 HRN852403:HRZ852403 HHR852403:HID852403 GXV852403:GYH852403 GNZ852403:GOL852403 GED852403:GEP852403 FUH852403:FUT852403 FKL852403:FKX852403 FAP852403:FBB852403 EQT852403:ERF852403 EGX852403:EHJ852403 DXB852403:DXN852403 DNF852403:DNR852403 DDJ852403:DDV852403 CTN852403:CTZ852403 CJR852403:CKD852403 BZV852403:CAH852403 BPZ852403:BQL852403 BGD852403:BGP852403 AWH852403:AWT852403 AML852403:AMX852403 ACP852403:ADB852403 ST852403:TF852403 IX852403:JJ852403 WVJ786867:WVV786867 WLN786867:WLZ786867 WBR786867:WCD786867 VRV786867:VSH786867 VHZ786867:VIL786867 UYD786867:UYP786867 UOH786867:UOT786867 UEL786867:UEX786867 TUP786867:TVB786867 TKT786867:TLF786867 TAX786867:TBJ786867 SRB786867:SRN786867 SHF786867:SHR786867 RXJ786867:RXV786867 RNN786867:RNZ786867 RDR786867:RED786867 QTV786867:QUH786867 QJZ786867:QKL786867 QAD786867:QAP786867 PQH786867:PQT786867 PGL786867:PGX786867 OWP786867:OXB786867 OMT786867:ONF786867 OCX786867:ODJ786867 NTB786867:NTN786867 NJF786867:NJR786867 MZJ786867:MZV786867 MPN786867:MPZ786867 MFR786867:MGD786867 LVV786867:LWH786867 LLZ786867:LML786867 LCD786867:LCP786867 KSH786867:KST786867 KIL786867:KIX786867 JYP786867:JZB786867 JOT786867:JPF786867 JEX786867:JFJ786867 IVB786867:IVN786867 ILF786867:ILR786867 IBJ786867:IBV786867 HRN786867:HRZ786867 HHR786867:HID786867 GXV786867:GYH786867 GNZ786867:GOL786867 GED786867:GEP786867 FUH786867:FUT786867 FKL786867:FKX786867 FAP786867:FBB786867 EQT786867:ERF786867 EGX786867:EHJ786867 DXB786867:DXN786867 DNF786867:DNR786867 DDJ786867:DDV786867 CTN786867:CTZ786867 CJR786867:CKD786867 BZV786867:CAH786867 BPZ786867:BQL786867 BGD786867:BGP786867 AWH786867:AWT786867 AML786867:AMX786867 ACP786867:ADB786867 ST786867:TF786867 IX786867:JJ786867 WVJ721331:WVV721331 WLN721331:WLZ721331 WBR721331:WCD721331 VRV721331:VSH721331 VHZ721331:VIL721331 UYD721331:UYP721331 UOH721331:UOT721331 UEL721331:UEX721331 TUP721331:TVB721331 TKT721331:TLF721331 TAX721331:TBJ721331 SRB721331:SRN721331 SHF721331:SHR721331 RXJ721331:RXV721331 RNN721331:RNZ721331 RDR721331:RED721331 QTV721331:QUH721331 QJZ721331:QKL721331 QAD721331:QAP721331 PQH721331:PQT721331 PGL721331:PGX721331 OWP721331:OXB721331 OMT721331:ONF721331 OCX721331:ODJ721331 NTB721331:NTN721331 NJF721331:NJR721331 MZJ721331:MZV721331 MPN721331:MPZ721331 MFR721331:MGD721331 LVV721331:LWH721331 LLZ721331:LML721331 LCD721331:LCP721331 KSH721331:KST721331 KIL721331:KIX721331 JYP721331:JZB721331 JOT721331:JPF721331 JEX721331:JFJ721331 IVB721331:IVN721331 ILF721331:ILR721331 IBJ721331:IBV721331 HRN721331:HRZ721331 HHR721331:HID721331 GXV721331:GYH721331 GNZ721331:GOL721331 GED721331:GEP721331 FUH721331:FUT721331 FKL721331:FKX721331 FAP721331:FBB721331 EQT721331:ERF721331 EGX721331:EHJ721331 DXB721331:DXN721331 DNF721331:DNR721331 DDJ721331:DDV721331 CTN721331:CTZ721331 CJR721331:CKD721331 BZV721331:CAH721331 BPZ721331:BQL721331 BGD721331:BGP721331 AWH721331:AWT721331 AML721331:AMX721331 ACP721331:ADB721331 ST721331:TF721331 IX721331:JJ721331 WVJ655795:WVV655795 WLN655795:WLZ655795 WBR655795:WCD655795 VRV655795:VSH655795 VHZ655795:VIL655795 UYD655795:UYP655795 UOH655795:UOT655795 UEL655795:UEX655795 TUP655795:TVB655795 TKT655795:TLF655795 TAX655795:TBJ655795 SRB655795:SRN655795 SHF655795:SHR655795 RXJ655795:RXV655795 RNN655795:RNZ655795 RDR655795:RED655795 QTV655795:QUH655795 QJZ655795:QKL655795 QAD655795:QAP655795 PQH655795:PQT655795 PGL655795:PGX655795 OWP655795:OXB655795 OMT655795:ONF655795 OCX655795:ODJ655795 NTB655795:NTN655795 NJF655795:NJR655795 MZJ655795:MZV655795 MPN655795:MPZ655795 MFR655795:MGD655795 LVV655795:LWH655795 LLZ655795:LML655795 LCD655795:LCP655795 KSH655795:KST655795 KIL655795:KIX655795 JYP655795:JZB655795 JOT655795:JPF655795 JEX655795:JFJ655795 IVB655795:IVN655795 ILF655795:ILR655795 IBJ655795:IBV655795 HRN655795:HRZ655795 HHR655795:HID655795 GXV655795:GYH655795 GNZ655795:GOL655795 GED655795:GEP655795 FUH655795:FUT655795 FKL655795:FKX655795 FAP655795:FBB655795 EQT655795:ERF655795 EGX655795:EHJ655795 DXB655795:DXN655795 DNF655795:DNR655795 DDJ655795:DDV655795 CTN655795:CTZ655795 CJR655795:CKD655795 BZV655795:CAH655795 BPZ655795:BQL655795 BGD655795:BGP655795 AWH655795:AWT655795 AML655795:AMX655795 ACP655795:ADB655795 ST655795:TF655795 IX655795:JJ655795 WVJ590259:WVV590259 WLN590259:WLZ590259 WBR590259:WCD590259 VRV590259:VSH590259 VHZ590259:VIL590259 UYD590259:UYP590259 UOH590259:UOT590259 UEL590259:UEX590259 TUP590259:TVB590259 TKT590259:TLF590259 TAX590259:TBJ590259 SRB590259:SRN590259 SHF590259:SHR590259 RXJ590259:RXV590259 RNN590259:RNZ590259 RDR590259:RED590259 QTV590259:QUH590259 QJZ590259:QKL590259 QAD590259:QAP590259 PQH590259:PQT590259 PGL590259:PGX590259 OWP590259:OXB590259 OMT590259:ONF590259 OCX590259:ODJ590259 NTB590259:NTN590259 NJF590259:NJR590259 MZJ590259:MZV590259 MPN590259:MPZ590259 MFR590259:MGD590259 LVV590259:LWH590259 LLZ590259:LML590259 LCD590259:LCP590259 KSH590259:KST590259 KIL590259:KIX590259 JYP590259:JZB590259 JOT590259:JPF590259 JEX590259:JFJ590259 IVB590259:IVN590259 ILF590259:ILR590259 IBJ590259:IBV590259 HRN590259:HRZ590259 HHR590259:HID590259 GXV590259:GYH590259 GNZ590259:GOL590259 GED590259:GEP590259 FUH590259:FUT590259 FKL590259:FKX590259 FAP590259:FBB590259 EQT590259:ERF590259 EGX590259:EHJ590259 DXB590259:DXN590259 DNF590259:DNR590259 DDJ590259:DDV590259 CTN590259:CTZ590259 CJR590259:CKD590259 BZV590259:CAH590259 BPZ590259:BQL590259 BGD590259:BGP590259 AWH590259:AWT590259 AML590259:AMX590259 ACP590259:ADB590259 ST590259:TF590259 IX590259:JJ590259 WVJ524723:WVV524723 WLN524723:WLZ524723 WBR524723:WCD524723 VRV524723:VSH524723 VHZ524723:VIL524723 UYD524723:UYP524723 UOH524723:UOT524723 UEL524723:UEX524723 TUP524723:TVB524723 TKT524723:TLF524723 TAX524723:TBJ524723 SRB524723:SRN524723 SHF524723:SHR524723 RXJ524723:RXV524723 RNN524723:RNZ524723 RDR524723:RED524723 QTV524723:QUH524723 QJZ524723:QKL524723 QAD524723:QAP524723 PQH524723:PQT524723 PGL524723:PGX524723 OWP524723:OXB524723 OMT524723:ONF524723 OCX524723:ODJ524723 NTB524723:NTN524723 NJF524723:NJR524723 MZJ524723:MZV524723 MPN524723:MPZ524723 MFR524723:MGD524723 LVV524723:LWH524723 LLZ524723:LML524723 LCD524723:LCP524723 KSH524723:KST524723 KIL524723:KIX524723 JYP524723:JZB524723 JOT524723:JPF524723 JEX524723:JFJ524723 IVB524723:IVN524723 ILF524723:ILR524723 IBJ524723:IBV524723 HRN524723:HRZ524723 HHR524723:HID524723 GXV524723:GYH524723 GNZ524723:GOL524723 GED524723:GEP524723 FUH524723:FUT524723 FKL524723:FKX524723 FAP524723:FBB524723 EQT524723:ERF524723 EGX524723:EHJ524723 DXB524723:DXN524723 DNF524723:DNR524723 DDJ524723:DDV524723 CTN524723:CTZ524723 CJR524723:CKD524723 BZV524723:CAH524723 BPZ524723:BQL524723 BGD524723:BGP524723 AWH524723:AWT524723 AML524723:AMX524723 ACP524723:ADB524723 ST524723:TF524723 IX524723:JJ524723 WVJ459187:WVV459187 WLN459187:WLZ459187 WBR459187:WCD459187 VRV459187:VSH459187 VHZ459187:VIL459187 UYD459187:UYP459187 UOH459187:UOT459187 UEL459187:UEX459187 TUP459187:TVB459187 TKT459187:TLF459187 TAX459187:TBJ459187 SRB459187:SRN459187 SHF459187:SHR459187 RXJ459187:RXV459187 RNN459187:RNZ459187 RDR459187:RED459187 QTV459187:QUH459187 QJZ459187:QKL459187 QAD459187:QAP459187 PQH459187:PQT459187 PGL459187:PGX459187 OWP459187:OXB459187 OMT459187:ONF459187 OCX459187:ODJ459187 NTB459187:NTN459187 NJF459187:NJR459187 MZJ459187:MZV459187 MPN459187:MPZ459187 MFR459187:MGD459187 LVV459187:LWH459187 LLZ459187:LML459187 LCD459187:LCP459187 KSH459187:KST459187 KIL459187:KIX459187 JYP459187:JZB459187 JOT459187:JPF459187 JEX459187:JFJ459187 IVB459187:IVN459187 ILF459187:ILR459187 IBJ459187:IBV459187 HRN459187:HRZ459187 HHR459187:HID459187 GXV459187:GYH459187 GNZ459187:GOL459187 GED459187:GEP459187 FUH459187:FUT459187 FKL459187:FKX459187 FAP459187:FBB459187 EQT459187:ERF459187 EGX459187:EHJ459187 DXB459187:DXN459187 DNF459187:DNR459187 DDJ459187:DDV459187 CTN459187:CTZ459187 CJR459187:CKD459187 BZV459187:CAH459187 BPZ459187:BQL459187 BGD459187:BGP459187 AWH459187:AWT459187 AML459187:AMX459187 ACP459187:ADB459187 ST459187:TF459187 IX459187:JJ459187 WVJ393651:WVV393651 WLN393651:WLZ393651 WBR393651:WCD393651 VRV393651:VSH393651 VHZ393651:VIL393651 UYD393651:UYP393651 UOH393651:UOT393651 UEL393651:UEX393651 TUP393651:TVB393651 TKT393651:TLF393651 TAX393651:TBJ393651 SRB393651:SRN393651 SHF393651:SHR393651 RXJ393651:RXV393651 RNN393651:RNZ393651 RDR393651:RED393651 QTV393651:QUH393651 QJZ393651:QKL393651 QAD393651:QAP393651 PQH393651:PQT393651 PGL393651:PGX393651 OWP393651:OXB393651 OMT393651:ONF393651 OCX393651:ODJ393651 NTB393651:NTN393651 NJF393651:NJR393651 MZJ393651:MZV393651 MPN393651:MPZ393651 MFR393651:MGD393651 LVV393651:LWH393651 LLZ393651:LML393651 LCD393651:LCP393651 KSH393651:KST393651 KIL393651:KIX393651 JYP393651:JZB393651 JOT393651:JPF393651 JEX393651:JFJ393651 IVB393651:IVN393651 ILF393651:ILR393651 IBJ393651:IBV393651 HRN393651:HRZ393651 HHR393651:HID393651 GXV393651:GYH393651 GNZ393651:GOL393651 GED393651:GEP393651 FUH393651:FUT393651 FKL393651:FKX393651 FAP393651:FBB393651 EQT393651:ERF393651 EGX393651:EHJ393651 DXB393651:DXN393651 DNF393651:DNR393651 DDJ393651:DDV393651 CTN393651:CTZ393651 CJR393651:CKD393651 BZV393651:CAH393651 BPZ393651:BQL393651 BGD393651:BGP393651 AWH393651:AWT393651 AML393651:AMX393651 ACP393651:ADB393651 ST393651:TF393651 IX393651:JJ393651 WVJ328115:WVV328115 WLN328115:WLZ328115 WBR328115:WCD328115 VRV328115:VSH328115 VHZ328115:VIL328115 UYD328115:UYP328115 UOH328115:UOT328115 UEL328115:UEX328115 TUP328115:TVB328115 TKT328115:TLF328115 TAX328115:TBJ328115 SRB328115:SRN328115 SHF328115:SHR328115 RXJ328115:RXV328115 RNN328115:RNZ328115 RDR328115:RED328115 QTV328115:QUH328115 QJZ328115:QKL328115 QAD328115:QAP328115 PQH328115:PQT328115 PGL328115:PGX328115 OWP328115:OXB328115 OMT328115:ONF328115 OCX328115:ODJ328115 NTB328115:NTN328115 NJF328115:NJR328115 MZJ328115:MZV328115 MPN328115:MPZ328115 MFR328115:MGD328115 LVV328115:LWH328115 LLZ328115:LML328115 LCD328115:LCP328115 KSH328115:KST328115 KIL328115:KIX328115 JYP328115:JZB328115 JOT328115:JPF328115 JEX328115:JFJ328115 IVB328115:IVN328115 ILF328115:ILR328115 IBJ328115:IBV328115 HRN328115:HRZ328115 HHR328115:HID328115 GXV328115:GYH328115 GNZ328115:GOL328115 GED328115:GEP328115 FUH328115:FUT328115 FKL328115:FKX328115 FAP328115:FBB328115 EQT328115:ERF328115 EGX328115:EHJ328115 DXB328115:DXN328115 DNF328115:DNR328115 DDJ328115:DDV328115 CTN328115:CTZ328115 CJR328115:CKD328115 BZV328115:CAH328115 BPZ328115:BQL328115 BGD328115:BGP328115 AWH328115:AWT328115 AML328115:AMX328115 ACP328115:ADB328115 ST328115:TF328115 IX328115:JJ328115 WVJ262579:WVV262579 WLN262579:WLZ262579 WBR262579:WCD262579 VRV262579:VSH262579 VHZ262579:VIL262579 UYD262579:UYP262579 UOH262579:UOT262579 UEL262579:UEX262579 TUP262579:TVB262579 TKT262579:TLF262579 TAX262579:TBJ262579 SRB262579:SRN262579 SHF262579:SHR262579 RXJ262579:RXV262579 RNN262579:RNZ262579 RDR262579:RED262579 QTV262579:QUH262579 QJZ262579:QKL262579 QAD262579:QAP262579 PQH262579:PQT262579 PGL262579:PGX262579 OWP262579:OXB262579 OMT262579:ONF262579 OCX262579:ODJ262579 NTB262579:NTN262579 NJF262579:NJR262579 MZJ262579:MZV262579 MPN262579:MPZ262579 MFR262579:MGD262579 LVV262579:LWH262579 LLZ262579:LML262579 LCD262579:LCP262579 KSH262579:KST262579 KIL262579:KIX262579 JYP262579:JZB262579 JOT262579:JPF262579 JEX262579:JFJ262579 IVB262579:IVN262579 ILF262579:ILR262579 IBJ262579:IBV262579 HRN262579:HRZ262579 HHR262579:HID262579 GXV262579:GYH262579 GNZ262579:GOL262579 GED262579:GEP262579 FUH262579:FUT262579 FKL262579:FKX262579 FAP262579:FBB262579 EQT262579:ERF262579 EGX262579:EHJ262579 DXB262579:DXN262579 DNF262579:DNR262579 DDJ262579:DDV262579 CTN262579:CTZ262579 CJR262579:CKD262579 BZV262579:CAH262579 BPZ262579:BQL262579 BGD262579:BGP262579 AWH262579:AWT262579 AML262579:AMX262579 ACP262579:ADB262579 ST262579:TF262579 IX262579:JJ262579 WVJ197043:WVV197043 WLN197043:WLZ197043 WBR197043:WCD197043 VRV197043:VSH197043 VHZ197043:VIL197043 UYD197043:UYP197043 UOH197043:UOT197043 UEL197043:UEX197043 TUP197043:TVB197043 TKT197043:TLF197043 TAX197043:TBJ197043 SRB197043:SRN197043 SHF197043:SHR197043 RXJ197043:RXV197043 RNN197043:RNZ197043 RDR197043:RED197043 QTV197043:QUH197043 QJZ197043:QKL197043 QAD197043:QAP197043 PQH197043:PQT197043 PGL197043:PGX197043 OWP197043:OXB197043 OMT197043:ONF197043 OCX197043:ODJ197043 NTB197043:NTN197043 NJF197043:NJR197043 MZJ197043:MZV197043 MPN197043:MPZ197043 MFR197043:MGD197043 LVV197043:LWH197043 LLZ197043:LML197043 LCD197043:LCP197043 KSH197043:KST197043 KIL197043:KIX197043 JYP197043:JZB197043 JOT197043:JPF197043 JEX197043:JFJ197043 IVB197043:IVN197043 ILF197043:ILR197043 IBJ197043:IBV197043 HRN197043:HRZ197043 HHR197043:HID197043 GXV197043:GYH197043 GNZ197043:GOL197043 GED197043:GEP197043 FUH197043:FUT197043 FKL197043:FKX197043 FAP197043:FBB197043 EQT197043:ERF197043 EGX197043:EHJ197043 DXB197043:DXN197043 DNF197043:DNR197043 DDJ197043:DDV197043 CTN197043:CTZ197043 CJR197043:CKD197043 BZV197043:CAH197043 BPZ197043:BQL197043 BGD197043:BGP197043 AWH197043:AWT197043 AML197043:AMX197043 ACP197043:ADB197043 ST197043:TF197043 IX197043:JJ197043 WVJ131507:WVV131507 WLN131507:WLZ131507 WBR131507:WCD131507 VRV131507:VSH131507 VHZ131507:VIL131507 UYD131507:UYP131507 UOH131507:UOT131507 UEL131507:UEX131507 TUP131507:TVB131507 TKT131507:TLF131507 TAX131507:TBJ131507 SRB131507:SRN131507 SHF131507:SHR131507 RXJ131507:RXV131507 RNN131507:RNZ131507 RDR131507:RED131507 QTV131507:QUH131507 QJZ131507:QKL131507 QAD131507:QAP131507 PQH131507:PQT131507 PGL131507:PGX131507 OWP131507:OXB131507 OMT131507:ONF131507 OCX131507:ODJ131507 NTB131507:NTN131507 NJF131507:NJR131507 MZJ131507:MZV131507 MPN131507:MPZ131507 MFR131507:MGD131507 LVV131507:LWH131507 LLZ131507:LML131507 LCD131507:LCP131507 KSH131507:KST131507 KIL131507:KIX131507 JYP131507:JZB131507 JOT131507:JPF131507 JEX131507:JFJ131507 IVB131507:IVN131507 ILF131507:ILR131507 IBJ131507:IBV131507 HRN131507:HRZ131507 HHR131507:HID131507 GXV131507:GYH131507 GNZ131507:GOL131507 GED131507:GEP131507 FUH131507:FUT131507 FKL131507:FKX131507 FAP131507:FBB131507 EQT131507:ERF131507 EGX131507:EHJ131507 DXB131507:DXN131507 DNF131507:DNR131507 DDJ131507:DDV131507 CTN131507:CTZ131507 CJR131507:CKD131507 BZV131507:CAH131507 BPZ131507:BQL131507 BGD131507:BGP131507 AWH131507:AWT131507 AML131507:AMX131507 ACP131507:ADB131507 ST131507:TF131507 IX131507:JJ131507 WVJ65971:WVV65971 WLN65971:WLZ65971 WBR65971:WCD65971 VRV65971:VSH65971 VHZ65971:VIL65971 UYD65971:UYP65971 UOH65971:UOT65971 UEL65971:UEX65971 TUP65971:TVB65971 TKT65971:TLF65971 TAX65971:TBJ65971 SRB65971:SRN65971 SHF65971:SHR65971 RXJ65971:RXV65971 RNN65971:RNZ65971 RDR65971:RED65971 QTV65971:QUH65971 QJZ65971:QKL65971 QAD65971:QAP65971 PQH65971:PQT65971 PGL65971:PGX65971 OWP65971:OXB65971 OMT65971:ONF65971 OCX65971:ODJ65971 NTB65971:NTN65971 NJF65971:NJR65971 MZJ65971:MZV65971 MPN65971:MPZ65971 MFR65971:MGD65971 LVV65971:LWH65971 LLZ65971:LML65971 LCD65971:LCP65971 KSH65971:KST65971 KIL65971:KIX65971 JYP65971:JZB65971 JOT65971:JPF65971 JEX65971:JFJ65971 IVB65971:IVN65971 ILF65971:ILR65971 IBJ65971:IBV65971 HRN65971:HRZ65971 HHR65971:HID65971 GXV65971:GYH65971 GNZ65971:GOL65971 GED65971:GEP65971 FUH65971:FUT65971 FKL65971:FKX65971 FAP65971:FBB65971 EQT65971:ERF65971 EGX65971:EHJ65971 DXB65971:DXN65971 DNF65971:DNR65971 DDJ65971:DDV65971 CTN65971:CTZ65971 CJR65971:CKD65971 BZV65971:CAH65971 BPZ65971:BQL65971 BGD65971:BGP65971 AWH65971:AWT65971 AML65971:AMX65971 ACP65971:ADB65971 ST65971:TF65971 IX65971:JJ65971 WVJ436:WVV436 WLN436:WLZ436 WBR436:WCD436 VRV436:VSH436 VHZ436:VIL436 UYD436:UYP436 UOH436:UOT436 UEL436:UEX436 TUP436:TVB436 TKT436:TLF436 TAX436:TBJ436 SRB436:SRN436 SHF436:SHR436 RXJ436:RXV436 RNN436:RNZ436 RDR436:RED436 QTV436:QUH436 QJZ436:QKL436 QAD436:QAP436 PQH436:PQT436 PGL436:PGX436 OWP436:OXB436 OMT436:ONF436 OCX436:ODJ436 NTB436:NTN436 NJF436:NJR436 MZJ436:MZV436 MPN436:MPZ436 MFR436:MGD436 LVV436:LWH436 LLZ436:LML436 LCD436:LCP436 KSH436:KST436 KIL436:KIX436 JYP436:JZB436 JOT436:JPF436 JEX436:JFJ436 IVB436:IVN436 ILF436:ILR436 IBJ436:IBV436 HRN436:HRZ436 HHR436:HID436 GXV436:GYH436 GNZ436:GOL436 GED436:GEP436 FUH436:FUT436 FKL436:FKX436 FAP436:FBB436 EQT436:ERF436 EGX436:EHJ436 DXB436:DXN436 DNF436:DNR436 DDJ436:DDV436 CTN436:CTZ436 CJR436:CKD436 BZV436:CAH436 BPZ436:BQL436 BGD436:BGP436 AWH436:AWT436 AML436:AMX436 ACP436:ADB436 ST436:TF436 IX436:JJ436 WVJ983278:WVV983278 WLN983278:WLZ983278 WBR983278:WCD983278 VRV983278:VSH983278 VHZ983278:VIL983278 UYD983278:UYP983278 UOH983278:UOT983278 UEL983278:UEX983278 TUP983278:TVB983278 TKT983278:TLF983278 TAX983278:TBJ983278 SRB983278:SRN983278 SHF983278:SHR983278 RXJ983278:RXV983278 RNN983278:RNZ983278 RDR983278:RED983278 QTV983278:QUH983278 QJZ983278:QKL983278 QAD983278:QAP983278 PQH983278:PQT983278 PGL983278:PGX983278 OWP983278:OXB983278 OMT983278:ONF983278 OCX983278:ODJ983278 NTB983278:NTN983278 NJF983278:NJR983278 MZJ983278:MZV983278 MPN983278:MPZ983278 MFR983278:MGD983278 LVV983278:LWH983278 LLZ983278:LML983278 LCD983278:LCP983278 KSH983278:KST983278 KIL983278:KIX983278 JYP983278:JZB983278 JOT983278:JPF983278 JEX983278:JFJ983278 IVB983278:IVN983278 ILF983278:ILR983278 IBJ983278:IBV983278 HRN983278:HRZ983278 HHR983278:HID983278 GXV983278:GYH983278 GNZ983278:GOL983278 GED983278:GEP983278 FUH983278:FUT983278 FKL983278:FKX983278 FAP983278:FBB983278 EQT983278:ERF983278 EGX983278:EHJ983278 DXB983278:DXN983278 DNF983278:DNR983278 DDJ983278:DDV983278 CTN983278:CTZ983278 CJR983278:CKD983278 BZV983278:CAH983278 BPZ983278:BQL983278 BGD983278:BGP983278 AWH983278:AWT983278 AML983278:AMX983278 ACP983278:ADB983278 ST983278:TF983278 IX983278:JJ983278 WVJ917742:WVV917742 WLN917742:WLZ917742 WBR917742:WCD917742 VRV917742:VSH917742 VHZ917742:VIL917742 UYD917742:UYP917742 UOH917742:UOT917742 UEL917742:UEX917742 TUP917742:TVB917742 TKT917742:TLF917742 TAX917742:TBJ917742 SRB917742:SRN917742 SHF917742:SHR917742 RXJ917742:RXV917742 RNN917742:RNZ917742 RDR917742:RED917742 QTV917742:QUH917742 QJZ917742:QKL917742 QAD917742:QAP917742 PQH917742:PQT917742 PGL917742:PGX917742 OWP917742:OXB917742 OMT917742:ONF917742 OCX917742:ODJ917742 NTB917742:NTN917742 NJF917742:NJR917742 MZJ917742:MZV917742 MPN917742:MPZ917742 MFR917742:MGD917742 LVV917742:LWH917742 LLZ917742:LML917742 LCD917742:LCP917742 KSH917742:KST917742 KIL917742:KIX917742 JYP917742:JZB917742 JOT917742:JPF917742 JEX917742:JFJ917742 IVB917742:IVN917742 ILF917742:ILR917742 IBJ917742:IBV917742 HRN917742:HRZ917742 HHR917742:HID917742 GXV917742:GYH917742 GNZ917742:GOL917742 GED917742:GEP917742 FUH917742:FUT917742 FKL917742:FKX917742 FAP917742:FBB917742 EQT917742:ERF917742 EGX917742:EHJ917742 DXB917742:DXN917742 DNF917742:DNR917742 DDJ917742:DDV917742 CTN917742:CTZ917742 CJR917742:CKD917742 BZV917742:CAH917742 BPZ917742:BQL917742 BGD917742:BGP917742 AWH917742:AWT917742 AML917742:AMX917742 ACP917742:ADB917742 ST917742:TF917742 IX917742:JJ917742 WVJ852206:WVV852206 WLN852206:WLZ852206 WBR852206:WCD852206 VRV852206:VSH852206 VHZ852206:VIL852206 UYD852206:UYP852206 UOH852206:UOT852206 UEL852206:UEX852206 TUP852206:TVB852206 TKT852206:TLF852206 TAX852206:TBJ852206 SRB852206:SRN852206 SHF852206:SHR852206 RXJ852206:RXV852206 RNN852206:RNZ852206 RDR852206:RED852206 QTV852206:QUH852206 QJZ852206:QKL852206 QAD852206:QAP852206 PQH852206:PQT852206 PGL852206:PGX852206 OWP852206:OXB852206 OMT852206:ONF852206 OCX852206:ODJ852206 NTB852206:NTN852206 NJF852206:NJR852206 MZJ852206:MZV852206 MPN852206:MPZ852206 MFR852206:MGD852206 LVV852206:LWH852206 LLZ852206:LML852206 LCD852206:LCP852206 KSH852206:KST852206 KIL852206:KIX852206 JYP852206:JZB852206 JOT852206:JPF852206 JEX852206:JFJ852206 IVB852206:IVN852206 ILF852206:ILR852206 IBJ852206:IBV852206 HRN852206:HRZ852206 HHR852206:HID852206 GXV852206:GYH852206 GNZ852206:GOL852206 GED852206:GEP852206 FUH852206:FUT852206 FKL852206:FKX852206 FAP852206:FBB852206 EQT852206:ERF852206 EGX852206:EHJ852206 DXB852206:DXN852206 DNF852206:DNR852206 DDJ852206:DDV852206 CTN852206:CTZ852206 CJR852206:CKD852206 BZV852206:CAH852206 BPZ852206:BQL852206 BGD852206:BGP852206 AWH852206:AWT852206 AML852206:AMX852206 ACP852206:ADB852206 ST852206:TF852206 IX852206:JJ852206 WVJ786670:WVV786670 WLN786670:WLZ786670 WBR786670:WCD786670 VRV786670:VSH786670 VHZ786670:VIL786670 UYD786670:UYP786670 UOH786670:UOT786670 UEL786670:UEX786670 TUP786670:TVB786670 TKT786670:TLF786670 TAX786670:TBJ786670 SRB786670:SRN786670 SHF786670:SHR786670 RXJ786670:RXV786670 RNN786670:RNZ786670 RDR786670:RED786670 QTV786670:QUH786670 QJZ786670:QKL786670 QAD786670:QAP786670 PQH786670:PQT786670 PGL786670:PGX786670 OWP786670:OXB786670 OMT786670:ONF786670 OCX786670:ODJ786670 NTB786670:NTN786670 NJF786670:NJR786670 MZJ786670:MZV786670 MPN786670:MPZ786670 MFR786670:MGD786670 LVV786670:LWH786670 LLZ786670:LML786670 LCD786670:LCP786670 KSH786670:KST786670 KIL786670:KIX786670 JYP786670:JZB786670 JOT786670:JPF786670 JEX786670:JFJ786670 IVB786670:IVN786670 ILF786670:ILR786670 IBJ786670:IBV786670 HRN786670:HRZ786670 HHR786670:HID786670 GXV786670:GYH786670 GNZ786670:GOL786670 GED786670:GEP786670 FUH786670:FUT786670 FKL786670:FKX786670 FAP786670:FBB786670 EQT786670:ERF786670 EGX786670:EHJ786670 DXB786670:DXN786670 DNF786670:DNR786670 DDJ786670:DDV786670 CTN786670:CTZ786670 CJR786670:CKD786670 BZV786670:CAH786670 BPZ786670:BQL786670 BGD786670:BGP786670 AWH786670:AWT786670 AML786670:AMX786670 ACP786670:ADB786670 ST786670:TF786670 IX786670:JJ786670 WVJ721134:WVV721134 WLN721134:WLZ721134 WBR721134:WCD721134 VRV721134:VSH721134 VHZ721134:VIL721134 UYD721134:UYP721134 UOH721134:UOT721134 UEL721134:UEX721134 TUP721134:TVB721134 TKT721134:TLF721134 TAX721134:TBJ721134 SRB721134:SRN721134 SHF721134:SHR721134 RXJ721134:RXV721134 RNN721134:RNZ721134 RDR721134:RED721134 QTV721134:QUH721134 QJZ721134:QKL721134 QAD721134:QAP721134 PQH721134:PQT721134 PGL721134:PGX721134 OWP721134:OXB721134 OMT721134:ONF721134 OCX721134:ODJ721134 NTB721134:NTN721134 NJF721134:NJR721134 MZJ721134:MZV721134 MPN721134:MPZ721134 MFR721134:MGD721134 LVV721134:LWH721134 LLZ721134:LML721134 LCD721134:LCP721134 KSH721134:KST721134 KIL721134:KIX721134 JYP721134:JZB721134 JOT721134:JPF721134 JEX721134:JFJ721134 IVB721134:IVN721134 ILF721134:ILR721134 IBJ721134:IBV721134 HRN721134:HRZ721134 HHR721134:HID721134 GXV721134:GYH721134 GNZ721134:GOL721134 GED721134:GEP721134 FUH721134:FUT721134 FKL721134:FKX721134 FAP721134:FBB721134 EQT721134:ERF721134 EGX721134:EHJ721134 DXB721134:DXN721134 DNF721134:DNR721134 DDJ721134:DDV721134 CTN721134:CTZ721134 CJR721134:CKD721134 BZV721134:CAH721134 BPZ721134:BQL721134 BGD721134:BGP721134 AWH721134:AWT721134 AML721134:AMX721134 ACP721134:ADB721134 ST721134:TF721134 IX721134:JJ721134 WVJ655598:WVV655598 WLN655598:WLZ655598 WBR655598:WCD655598 VRV655598:VSH655598 VHZ655598:VIL655598 UYD655598:UYP655598 UOH655598:UOT655598 UEL655598:UEX655598 TUP655598:TVB655598 TKT655598:TLF655598 TAX655598:TBJ655598 SRB655598:SRN655598 SHF655598:SHR655598 RXJ655598:RXV655598 RNN655598:RNZ655598 RDR655598:RED655598 QTV655598:QUH655598 QJZ655598:QKL655598 QAD655598:QAP655598 PQH655598:PQT655598 PGL655598:PGX655598 OWP655598:OXB655598 OMT655598:ONF655598 OCX655598:ODJ655598 NTB655598:NTN655598 NJF655598:NJR655598 MZJ655598:MZV655598 MPN655598:MPZ655598 MFR655598:MGD655598 LVV655598:LWH655598 LLZ655598:LML655598 LCD655598:LCP655598 KSH655598:KST655598 KIL655598:KIX655598 JYP655598:JZB655598 JOT655598:JPF655598 JEX655598:JFJ655598 IVB655598:IVN655598 ILF655598:ILR655598 IBJ655598:IBV655598 HRN655598:HRZ655598 HHR655598:HID655598 GXV655598:GYH655598 GNZ655598:GOL655598 GED655598:GEP655598 FUH655598:FUT655598 FKL655598:FKX655598 FAP655598:FBB655598 EQT655598:ERF655598 EGX655598:EHJ655598 DXB655598:DXN655598 DNF655598:DNR655598 DDJ655598:DDV655598 CTN655598:CTZ655598 CJR655598:CKD655598 BZV655598:CAH655598 BPZ655598:BQL655598 BGD655598:BGP655598 AWH655598:AWT655598 AML655598:AMX655598 ACP655598:ADB655598 ST655598:TF655598 IX655598:JJ655598 WVJ590062:WVV590062 WLN590062:WLZ590062 WBR590062:WCD590062 VRV590062:VSH590062 VHZ590062:VIL590062 UYD590062:UYP590062 UOH590062:UOT590062 UEL590062:UEX590062 TUP590062:TVB590062 TKT590062:TLF590062 TAX590062:TBJ590062 SRB590062:SRN590062 SHF590062:SHR590062 RXJ590062:RXV590062 RNN590062:RNZ590062 RDR590062:RED590062 QTV590062:QUH590062 QJZ590062:QKL590062 QAD590062:QAP590062 PQH590062:PQT590062 PGL590062:PGX590062 OWP590062:OXB590062 OMT590062:ONF590062 OCX590062:ODJ590062 NTB590062:NTN590062 NJF590062:NJR590062 MZJ590062:MZV590062 MPN590062:MPZ590062 MFR590062:MGD590062 LVV590062:LWH590062 LLZ590062:LML590062 LCD590062:LCP590062 KSH590062:KST590062 KIL590062:KIX590062 JYP590062:JZB590062 JOT590062:JPF590062 JEX590062:JFJ590062 IVB590062:IVN590062 ILF590062:ILR590062 IBJ590062:IBV590062 HRN590062:HRZ590062 HHR590062:HID590062 GXV590062:GYH590062 GNZ590062:GOL590062 GED590062:GEP590062 FUH590062:FUT590062 FKL590062:FKX590062 FAP590062:FBB590062 EQT590062:ERF590062 EGX590062:EHJ590062 DXB590062:DXN590062 DNF590062:DNR590062 DDJ590062:DDV590062 CTN590062:CTZ590062 CJR590062:CKD590062 BZV590062:CAH590062 BPZ590062:BQL590062 BGD590062:BGP590062 AWH590062:AWT590062 AML590062:AMX590062 ACP590062:ADB590062 ST590062:TF590062 IX590062:JJ590062 WVJ524526:WVV524526 WLN524526:WLZ524526 WBR524526:WCD524526 VRV524526:VSH524526 VHZ524526:VIL524526 UYD524526:UYP524526 UOH524526:UOT524526 UEL524526:UEX524526 TUP524526:TVB524526 TKT524526:TLF524526 TAX524526:TBJ524526 SRB524526:SRN524526 SHF524526:SHR524526 RXJ524526:RXV524526 RNN524526:RNZ524526 RDR524526:RED524526 QTV524526:QUH524526 QJZ524526:QKL524526 QAD524526:QAP524526 PQH524526:PQT524526 PGL524526:PGX524526 OWP524526:OXB524526 OMT524526:ONF524526 OCX524526:ODJ524526 NTB524526:NTN524526 NJF524526:NJR524526 MZJ524526:MZV524526 MPN524526:MPZ524526 MFR524526:MGD524526 LVV524526:LWH524526 LLZ524526:LML524526 LCD524526:LCP524526 KSH524526:KST524526 KIL524526:KIX524526 JYP524526:JZB524526 JOT524526:JPF524526 JEX524526:JFJ524526 IVB524526:IVN524526 ILF524526:ILR524526 IBJ524526:IBV524526 HRN524526:HRZ524526 HHR524526:HID524526 GXV524526:GYH524526 GNZ524526:GOL524526 GED524526:GEP524526 FUH524526:FUT524526 FKL524526:FKX524526 FAP524526:FBB524526 EQT524526:ERF524526 EGX524526:EHJ524526 DXB524526:DXN524526 DNF524526:DNR524526 DDJ524526:DDV524526 CTN524526:CTZ524526 CJR524526:CKD524526 BZV524526:CAH524526 BPZ524526:BQL524526 BGD524526:BGP524526 AWH524526:AWT524526 AML524526:AMX524526 ACP524526:ADB524526 ST524526:TF524526 IX524526:JJ524526 WVJ458990:WVV458990 WLN458990:WLZ458990 WBR458990:WCD458990 VRV458990:VSH458990 VHZ458990:VIL458990 UYD458990:UYP458990 UOH458990:UOT458990 UEL458990:UEX458990 TUP458990:TVB458990 TKT458990:TLF458990 TAX458990:TBJ458990 SRB458990:SRN458990 SHF458990:SHR458990 RXJ458990:RXV458990 RNN458990:RNZ458990 RDR458990:RED458990 QTV458990:QUH458990 QJZ458990:QKL458990 QAD458990:QAP458990 PQH458990:PQT458990 PGL458990:PGX458990 OWP458990:OXB458990 OMT458990:ONF458990 OCX458990:ODJ458990 NTB458990:NTN458990 NJF458990:NJR458990 MZJ458990:MZV458990 MPN458990:MPZ458990 MFR458990:MGD458990 LVV458990:LWH458990 LLZ458990:LML458990 LCD458990:LCP458990 KSH458990:KST458990 KIL458990:KIX458990 JYP458990:JZB458990 JOT458990:JPF458990 JEX458990:JFJ458990 IVB458990:IVN458990 ILF458990:ILR458990 IBJ458990:IBV458990 HRN458990:HRZ458990 HHR458990:HID458990 GXV458990:GYH458990 GNZ458990:GOL458990 GED458990:GEP458990 FUH458990:FUT458990 FKL458990:FKX458990 FAP458990:FBB458990 EQT458990:ERF458990 EGX458990:EHJ458990 DXB458990:DXN458990 DNF458990:DNR458990 DDJ458990:DDV458990 CTN458990:CTZ458990 CJR458990:CKD458990 BZV458990:CAH458990 BPZ458990:BQL458990 BGD458990:BGP458990 AWH458990:AWT458990 AML458990:AMX458990 ACP458990:ADB458990 ST458990:TF458990 IX458990:JJ458990 WVJ393454:WVV393454 WLN393454:WLZ393454 WBR393454:WCD393454 VRV393454:VSH393454 VHZ393454:VIL393454 UYD393454:UYP393454 UOH393454:UOT393454 UEL393454:UEX393454 TUP393454:TVB393454 TKT393454:TLF393454 TAX393454:TBJ393454 SRB393454:SRN393454 SHF393454:SHR393454 RXJ393454:RXV393454 RNN393454:RNZ393454 RDR393454:RED393454 QTV393454:QUH393454 QJZ393454:QKL393454 QAD393454:QAP393454 PQH393454:PQT393454 PGL393454:PGX393454 OWP393454:OXB393454 OMT393454:ONF393454 OCX393454:ODJ393454 NTB393454:NTN393454 NJF393454:NJR393454 MZJ393454:MZV393454 MPN393454:MPZ393454 MFR393454:MGD393454 LVV393454:LWH393454 LLZ393454:LML393454 LCD393454:LCP393454 KSH393454:KST393454 KIL393454:KIX393454 JYP393454:JZB393454 JOT393454:JPF393454 JEX393454:JFJ393454 IVB393454:IVN393454 ILF393454:ILR393454 IBJ393454:IBV393454 HRN393454:HRZ393454 HHR393454:HID393454 GXV393454:GYH393454 GNZ393454:GOL393454 GED393454:GEP393454 FUH393454:FUT393454 FKL393454:FKX393454 FAP393454:FBB393454 EQT393454:ERF393454 EGX393454:EHJ393454 DXB393454:DXN393454 DNF393454:DNR393454 DDJ393454:DDV393454 CTN393454:CTZ393454 CJR393454:CKD393454 BZV393454:CAH393454 BPZ393454:BQL393454 BGD393454:BGP393454 AWH393454:AWT393454 AML393454:AMX393454 ACP393454:ADB393454 ST393454:TF393454 IX393454:JJ393454 WVJ327918:WVV327918 WLN327918:WLZ327918 WBR327918:WCD327918 VRV327918:VSH327918 VHZ327918:VIL327918 UYD327918:UYP327918 UOH327918:UOT327918 UEL327918:UEX327918 TUP327918:TVB327918 TKT327918:TLF327918 TAX327918:TBJ327918 SRB327918:SRN327918 SHF327918:SHR327918 RXJ327918:RXV327918 RNN327918:RNZ327918 RDR327918:RED327918 QTV327918:QUH327918 QJZ327918:QKL327918 QAD327918:QAP327918 PQH327918:PQT327918 PGL327918:PGX327918 OWP327918:OXB327918 OMT327918:ONF327918 OCX327918:ODJ327918 NTB327918:NTN327918 NJF327918:NJR327918 MZJ327918:MZV327918 MPN327918:MPZ327918 MFR327918:MGD327918 LVV327918:LWH327918 LLZ327918:LML327918 LCD327918:LCP327918 KSH327918:KST327918 KIL327918:KIX327918 JYP327918:JZB327918 JOT327918:JPF327918 JEX327918:JFJ327918 IVB327918:IVN327918 ILF327918:ILR327918 IBJ327918:IBV327918 HRN327918:HRZ327918 HHR327918:HID327918 GXV327918:GYH327918 GNZ327918:GOL327918 GED327918:GEP327918 FUH327918:FUT327918 FKL327918:FKX327918 FAP327918:FBB327918 EQT327918:ERF327918 EGX327918:EHJ327918 DXB327918:DXN327918 DNF327918:DNR327918 DDJ327918:DDV327918 CTN327918:CTZ327918 CJR327918:CKD327918 BZV327918:CAH327918 BPZ327918:BQL327918 BGD327918:BGP327918 AWH327918:AWT327918 AML327918:AMX327918 ACP327918:ADB327918 ST327918:TF327918 IX327918:JJ327918 WVJ262382:WVV262382 WLN262382:WLZ262382 WBR262382:WCD262382 VRV262382:VSH262382 VHZ262382:VIL262382 UYD262382:UYP262382 UOH262382:UOT262382 UEL262382:UEX262382 TUP262382:TVB262382 TKT262382:TLF262382 TAX262382:TBJ262382 SRB262382:SRN262382 SHF262382:SHR262382 RXJ262382:RXV262382 RNN262382:RNZ262382 RDR262382:RED262382 QTV262382:QUH262382 QJZ262382:QKL262382 QAD262382:QAP262382 PQH262382:PQT262382 PGL262382:PGX262382 OWP262382:OXB262382 OMT262382:ONF262382 OCX262382:ODJ262382 NTB262382:NTN262382 NJF262382:NJR262382 MZJ262382:MZV262382 MPN262382:MPZ262382 MFR262382:MGD262382 LVV262382:LWH262382 LLZ262382:LML262382 LCD262382:LCP262382 KSH262382:KST262382 KIL262382:KIX262382 JYP262382:JZB262382 JOT262382:JPF262382 JEX262382:JFJ262382 IVB262382:IVN262382 ILF262382:ILR262382 IBJ262382:IBV262382 HRN262382:HRZ262382 HHR262382:HID262382 GXV262382:GYH262382 GNZ262382:GOL262382 GED262382:GEP262382 FUH262382:FUT262382 FKL262382:FKX262382 FAP262382:FBB262382 EQT262382:ERF262382 EGX262382:EHJ262382 DXB262382:DXN262382 DNF262382:DNR262382 DDJ262382:DDV262382 CTN262382:CTZ262382 CJR262382:CKD262382 BZV262382:CAH262382 BPZ262382:BQL262382 BGD262382:BGP262382 AWH262382:AWT262382 AML262382:AMX262382 ACP262382:ADB262382 ST262382:TF262382 IX262382:JJ262382 WVJ196846:WVV196846 WLN196846:WLZ196846 WBR196846:WCD196846 VRV196846:VSH196846 VHZ196846:VIL196846 UYD196846:UYP196846 UOH196846:UOT196846 UEL196846:UEX196846 TUP196846:TVB196846 TKT196846:TLF196846 TAX196846:TBJ196846 SRB196846:SRN196846 SHF196846:SHR196846 RXJ196846:RXV196846 RNN196846:RNZ196846 RDR196846:RED196846 QTV196846:QUH196846 QJZ196846:QKL196846 QAD196846:QAP196846 PQH196846:PQT196846 PGL196846:PGX196846 OWP196846:OXB196846 OMT196846:ONF196846 OCX196846:ODJ196846 NTB196846:NTN196846 NJF196846:NJR196846 MZJ196846:MZV196846 MPN196846:MPZ196846 MFR196846:MGD196846 LVV196846:LWH196846 LLZ196846:LML196846 LCD196846:LCP196846 KSH196846:KST196846 KIL196846:KIX196846 JYP196846:JZB196846 JOT196846:JPF196846 JEX196846:JFJ196846 IVB196846:IVN196846 ILF196846:ILR196846 IBJ196846:IBV196846 HRN196846:HRZ196846 HHR196846:HID196846 GXV196846:GYH196846 GNZ196846:GOL196846 GED196846:GEP196846 FUH196846:FUT196846 FKL196846:FKX196846 FAP196846:FBB196846 EQT196846:ERF196846 EGX196846:EHJ196846 DXB196846:DXN196846 DNF196846:DNR196846 DDJ196846:DDV196846 CTN196846:CTZ196846 CJR196846:CKD196846 BZV196846:CAH196846 BPZ196846:BQL196846 BGD196846:BGP196846 AWH196846:AWT196846 AML196846:AMX196846 ACP196846:ADB196846 ST196846:TF196846 IX196846:JJ196846 WVJ131310:WVV131310 WLN131310:WLZ131310 WBR131310:WCD131310 VRV131310:VSH131310 VHZ131310:VIL131310 UYD131310:UYP131310 UOH131310:UOT131310 UEL131310:UEX131310 TUP131310:TVB131310 TKT131310:TLF131310 TAX131310:TBJ131310 SRB131310:SRN131310 SHF131310:SHR131310 RXJ131310:RXV131310 RNN131310:RNZ131310 RDR131310:RED131310 QTV131310:QUH131310 QJZ131310:QKL131310 QAD131310:QAP131310 PQH131310:PQT131310 PGL131310:PGX131310 OWP131310:OXB131310 OMT131310:ONF131310 OCX131310:ODJ131310 NTB131310:NTN131310 NJF131310:NJR131310 MZJ131310:MZV131310 MPN131310:MPZ131310 MFR131310:MGD131310 LVV131310:LWH131310 LLZ131310:LML131310 LCD131310:LCP131310 KSH131310:KST131310 KIL131310:KIX131310 JYP131310:JZB131310 JOT131310:JPF131310 JEX131310:JFJ131310 IVB131310:IVN131310 ILF131310:ILR131310 IBJ131310:IBV131310 HRN131310:HRZ131310 HHR131310:HID131310 GXV131310:GYH131310 GNZ131310:GOL131310 GED131310:GEP131310 FUH131310:FUT131310 FKL131310:FKX131310 FAP131310:FBB131310 EQT131310:ERF131310 EGX131310:EHJ131310 DXB131310:DXN131310 DNF131310:DNR131310 DDJ131310:DDV131310 CTN131310:CTZ131310 CJR131310:CKD131310 BZV131310:CAH131310 BPZ131310:BQL131310 BGD131310:BGP131310 AWH131310:AWT131310 AML131310:AMX131310 ACP131310:ADB131310 ST131310:TF131310 IX131310:JJ131310 WVJ65774:WVV65774 WLN65774:WLZ65774 WBR65774:WCD65774 VRV65774:VSH65774 VHZ65774:VIL65774 UYD65774:UYP65774 UOH65774:UOT65774 UEL65774:UEX65774 TUP65774:TVB65774 TKT65774:TLF65774 TAX65774:TBJ65774 SRB65774:SRN65774 SHF65774:SHR65774 RXJ65774:RXV65774 RNN65774:RNZ65774 RDR65774:RED65774 QTV65774:QUH65774 QJZ65774:QKL65774 QAD65774:QAP65774 PQH65774:PQT65774 PGL65774:PGX65774 OWP65774:OXB65774 OMT65774:ONF65774 OCX65774:ODJ65774 NTB65774:NTN65774 NJF65774:NJR65774 MZJ65774:MZV65774 MPN65774:MPZ65774 MFR65774:MGD65774 LVV65774:LWH65774 LLZ65774:LML65774 LCD65774:LCP65774 KSH65774:KST65774 KIL65774:KIX65774 JYP65774:JZB65774 JOT65774:JPF65774 JEX65774:JFJ65774 IVB65774:IVN65774 ILF65774:ILR65774 IBJ65774:IBV65774 HRN65774:HRZ65774 HHR65774:HID65774 GXV65774:GYH65774 GNZ65774:GOL65774 GED65774:GEP65774 FUH65774:FUT65774 FKL65774:FKX65774 FAP65774:FBB65774 EQT65774:ERF65774 EGX65774:EHJ65774 DXB65774:DXN65774 DNF65774:DNR65774 DDJ65774:DDV65774 CTN65774:CTZ65774 CJR65774:CKD65774 BZV65774:CAH65774 BPZ65774:BQL65774 BGD65774:BGP65774 AWH65774:AWT65774 AML65774:AMX65774 ACP65774:ADB65774 ST65774:TF65774 IX65774:JJ65774 WVJ234:WVV234 WLN234:WLZ234 WBR234:WCD234 VRV234:VSH234 VHZ234:VIL234 UYD234:UYP234 UOH234:UOT234 UEL234:UEX234 TUP234:TVB234 TKT234:TLF234 TAX234:TBJ234 SRB234:SRN234 SHF234:SHR234 RXJ234:RXV234 RNN234:RNZ234 RDR234:RED234 QTV234:QUH234 QJZ234:QKL234 QAD234:QAP234 PQH234:PQT234 PGL234:PGX234 OWP234:OXB234 OMT234:ONF234 OCX234:ODJ234 NTB234:NTN234 NJF234:NJR234 MZJ234:MZV234 MPN234:MPZ234 MFR234:MGD234 LVV234:LWH234 LLZ234:LML234 LCD234:LCP234 KSH234:KST234 KIL234:KIX234 JYP234:JZB234 JOT234:JPF234 JEX234:JFJ234 IVB234:IVN234 ILF234:ILR234 IBJ234:IBV234 HRN234:HRZ234 HHR234:HID234 GXV234:GYH234 GNZ234:GOL234 GED234:GEP234 FUH234:FUT234 FKL234:FKX234 FAP234:FBB234 EQT234:ERF234 EGX234:EHJ234 DXB234:DXN234 DNF234:DNR234 DDJ234:DDV234 CTN234:CTZ234 CJR234:CKD234 BZV234:CAH234 BPZ234:BQL234 BGD234:BGP234 AWH234:AWT234 AML234:AMX234 ACP234:ADB234 ST234:TF234 IX234:JJ234 WVJ983565:WVV983565 WLN983565:WLZ983565 WBR983565:WCD983565 VRV983565:VSH983565 VHZ983565:VIL983565 UYD983565:UYP983565 UOH983565:UOT983565 UEL983565:UEX983565 TUP983565:TVB983565 TKT983565:TLF983565 TAX983565:TBJ983565 SRB983565:SRN983565 SHF983565:SHR983565 RXJ983565:RXV983565 RNN983565:RNZ983565 RDR983565:RED983565 QTV983565:QUH983565 QJZ983565:QKL983565 QAD983565:QAP983565 PQH983565:PQT983565 PGL983565:PGX983565 OWP983565:OXB983565 OMT983565:ONF983565 OCX983565:ODJ983565 NTB983565:NTN983565 NJF983565:NJR983565 MZJ983565:MZV983565 MPN983565:MPZ983565 MFR983565:MGD983565 LVV983565:LWH983565 LLZ983565:LML983565 LCD983565:LCP983565 KSH983565:KST983565 KIL983565:KIX983565 JYP983565:JZB983565 JOT983565:JPF983565 JEX983565:JFJ983565 IVB983565:IVN983565 ILF983565:ILR983565 IBJ983565:IBV983565 HRN983565:HRZ983565 HHR983565:HID983565 GXV983565:GYH983565 GNZ983565:GOL983565 GED983565:GEP983565 FUH983565:FUT983565 FKL983565:FKX983565 FAP983565:FBB983565 EQT983565:ERF983565 EGX983565:EHJ983565 DXB983565:DXN983565 DNF983565:DNR983565 DDJ983565:DDV983565 CTN983565:CTZ983565 CJR983565:CKD983565 BZV983565:CAH983565 BPZ983565:BQL983565 BGD983565:BGP983565 AWH983565:AWT983565 AML983565:AMX983565 ACP983565:ADB983565 ST983565:TF983565 IX983565:JJ983565 WVJ918029:WVV918029 WLN918029:WLZ918029 WBR918029:WCD918029 VRV918029:VSH918029 VHZ918029:VIL918029 UYD918029:UYP918029 UOH918029:UOT918029 UEL918029:UEX918029 TUP918029:TVB918029 TKT918029:TLF918029 TAX918029:TBJ918029 SRB918029:SRN918029 SHF918029:SHR918029 RXJ918029:RXV918029 RNN918029:RNZ918029 RDR918029:RED918029 QTV918029:QUH918029 QJZ918029:QKL918029 QAD918029:QAP918029 PQH918029:PQT918029 PGL918029:PGX918029 OWP918029:OXB918029 OMT918029:ONF918029 OCX918029:ODJ918029 NTB918029:NTN918029 NJF918029:NJR918029 MZJ918029:MZV918029 MPN918029:MPZ918029 MFR918029:MGD918029 LVV918029:LWH918029 LLZ918029:LML918029 LCD918029:LCP918029 KSH918029:KST918029 KIL918029:KIX918029 JYP918029:JZB918029 JOT918029:JPF918029 JEX918029:JFJ918029 IVB918029:IVN918029 ILF918029:ILR918029 IBJ918029:IBV918029 HRN918029:HRZ918029 HHR918029:HID918029 GXV918029:GYH918029 GNZ918029:GOL918029 GED918029:GEP918029 FUH918029:FUT918029 FKL918029:FKX918029 FAP918029:FBB918029 EQT918029:ERF918029 EGX918029:EHJ918029 DXB918029:DXN918029 DNF918029:DNR918029 DDJ918029:DDV918029 CTN918029:CTZ918029 CJR918029:CKD918029 BZV918029:CAH918029 BPZ918029:BQL918029 BGD918029:BGP918029 AWH918029:AWT918029 AML918029:AMX918029 ACP918029:ADB918029 ST918029:TF918029 IX918029:JJ918029 WVJ852493:WVV852493 WLN852493:WLZ852493 WBR852493:WCD852493 VRV852493:VSH852493 VHZ852493:VIL852493 UYD852493:UYP852493 UOH852493:UOT852493 UEL852493:UEX852493 TUP852493:TVB852493 TKT852493:TLF852493 TAX852493:TBJ852493 SRB852493:SRN852493 SHF852493:SHR852493 RXJ852493:RXV852493 RNN852493:RNZ852493 RDR852493:RED852493 QTV852493:QUH852493 QJZ852493:QKL852493 QAD852493:QAP852493 PQH852493:PQT852493 PGL852493:PGX852493 OWP852493:OXB852493 OMT852493:ONF852493 OCX852493:ODJ852493 NTB852493:NTN852493 NJF852493:NJR852493 MZJ852493:MZV852493 MPN852493:MPZ852493 MFR852493:MGD852493 LVV852493:LWH852493 LLZ852493:LML852493 LCD852493:LCP852493 KSH852493:KST852493 KIL852493:KIX852493 JYP852493:JZB852493 JOT852493:JPF852493 JEX852493:JFJ852493 IVB852493:IVN852493 ILF852493:ILR852493 IBJ852493:IBV852493 HRN852493:HRZ852493 HHR852493:HID852493 GXV852493:GYH852493 GNZ852493:GOL852493 GED852493:GEP852493 FUH852493:FUT852493 FKL852493:FKX852493 FAP852493:FBB852493 EQT852493:ERF852493 EGX852493:EHJ852493 DXB852493:DXN852493 DNF852493:DNR852493 DDJ852493:DDV852493 CTN852493:CTZ852493 CJR852493:CKD852493 BZV852493:CAH852493 BPZ852493:BQL852493 BGD852493:BGP852493 AWH852493:AWT852493 AML852493:AMX852493 ACP852493:ADB852493 ST852493:TF852493 IX852493:JJ852493 WVJ786957:WVV786957 WLN786957:WLZ786957 WBR786957:WCD786957 VRV786957:VSH786957 VHZ786957:VIL786957 UYD786957:UYP786957 UOH786957:UOT786957 UEL786957:UEX786957 TUP786957:TVB786957 TKT786957:TLF786957 TAX786957:TBJ786957 SRB786957:SRN786957 SHF786957:SHR786957 RXJ786957:RXV786957 RNN786957:RNZ786957 RDR786957:RED786957 QTV786957:QUH786957 QJZ786957:QKL786957 QAD786957:QAP786957 PQH786957:PQT786957 PGL786957:PGX786957 OWP786957:OXB786957 OMT786957:ONF786957 OCX786957:ODJ786957 NTB786957:NTN786957 NJF786957:NJR786957 MZJ786957:MZV786957 MPN786957:MPZ786957 MFR786957:MGD786957 LVV786957:LWH786957 LLZ786957:LML786957 LCD786957:LCP786957 KSH786957:KST786957 KIL786957:KIX786957 JYP786957:JZB786957 JOT786957:JPF786957 JEX786957:JFJ786957 IVB786957:IVN786957 ILF786957:ILR786957 IBJ786957:IBV786957 HRN786957:HRZ786957 HHR786957:HID786957 GXV786957:GYH786957 GNZ786957:GOL786957 GED786957:GEP786957 FUH786957:FUT786957 FKL786957:FKX786957 FAP786957:FBB786957 EQT786957:ERF786957 EGX786957:EHJ786957 DXB786957:DXN786957 DNF786957:DNR786957 DDJ786957:DDV786957 CTN786957:CTZ786957 CJR786957:CKD786957 BZV786957:CAH786957 BPZ786957:BQL786957 BGD786957:BGP786957 AWH786957:AWT786957 AML786957:AMX786957 ACP786957:ADB786957 ST786957:TF786957 IX786957:JJ786957 WVJ721421:WVV721421 WLN721421:WLZ721421 WBR721421:WCD721421 VRV721421:VSH721421 VHZ721421:VIL721421 UYD721421:UYP721421 UOH721421:UOT721421 UEL721421:UEX721421 TUP721421:TVB721421 TKT721421:TLF721421 TAX721421:TBJ721421 SRB721421:SRN721421 SHF721421:SHR721421 RXJ721421:RXV721421 RNN721421:RNZ721421 RDR721421:RED721421 QTV721421:QUH721421 QJZ721421:QKL721421 QAD721421:QAP721421 PQH721421:PQT721421 PGL721421:PGX721421 OWP721421:OXB721421 OMT721421:ONF721421 OCX721421:ODJ721421 NTB721421:NTN721421 NJF721421:NJR721421 MZJ721421:MZV721421 MPN721421:MPZ721421 MFR721421:MGD721421 LVV721421:LWH721421 LLZ721421:LML721421 LCD721421:LCP721421 KSH721421:KST721421 KIL721421:KIX721421 JYP721421:JZB721421 JOT721421:JPF721421 JEX721421:JFJ721421 IVB721421:IVN721421 ILF721421:ILR721421 IBJ721421:IBV721421 HRN721421:HRZ721421 HHR721421:HID721421 GXV721421:GYH721421 GNZ721421:GOL721421 GED721421:GEP721421 FUH721421:FUT721421 FKL721421:FKX721421 FAP721421:FBB721421 EQT721421:ERF721421 EGX721421:EHJ721421 DXB721421:DXN721421 DNF721421:DNR721421 DDJ721421:DDV721421 CTN721421:CTZ721421 CJR721421:CKD721421 BZV721421:CAH721421 BPZ721421:BQL721421 BGD721421:BGP721421 AWH721421:AWT721421 AML721421:AMX721421 ACP721421:ADB721421 ST721421:TF721421 IX721421:JJ721421 WVJ655885:WVV655885 WLN655885:WLZ655885 WBR655885:WCD655885 VRV655885:VSH655885 VHZ655885:VIL655885 UYD655885:UYP655885 UOH655885:UOT655885 UEL655885:UEX655885 TUP655885:TVB655885 TKT655885:TLF655885 TAX655885:TBJ655885 SRB655885:SRN655885 SHF655885:SHR655885 RXJ655885:RXV655885 RNN655885:RNZ655885 RDR655885:RED655885 QTV655885:QUH655885 QJZ655885:QKL655885 QAD655885:QAP655885 PQH655885:PQT655885 PGL655885:PGX655885 OWP655885:OXB655885 OMT655885:ONF655885 OCX655885:ODJ655885 NTB655885:NTN655885 NJF655885:NJR655885 MZJ655885:MZV655885 MPN655885:MPZ655885 MFR655885:MGD655885 LVV655885:LWH655885 LLZ655885:LML655885 LCD655885:LCP655885 KSH655885:KST655885 KIL655885:KIX655885 JYP655885:JZB655885 JOT655885:JPF655885 JEX655885:JFJ655885 IVB655885:IVN655885 ILF655885:ILR655885 IBJ655885:IBV655885 HRN655885:HRZ655885 HHR655885:HID655885 GXV655885:GYH655885 GNZ655885:GOL655885 GED655885:GEP655885 FUH655885:FUT655885 FKL655885:FKX655885 FAP655885:FBB655885 EQT655885:ERF655885 EGX655885:EHJ655885 DXB655885:DXN655885 DNF655885:DNR655885 DDJ655885:DDV655885 CTN655885:CTZ655885 CJR655885:CKD655885 BZV655885:CAH655885 BPZ655885:BQL655885 BGD655885:BGP655885 AWH655885:AWT655885 AML655885:AMX655885 ACP655885:ADB655885 ST655885:TF655885 IX655885:JJ655885 WVJ590349:WVV590349 WLN590349:WLZ590349 WBR590349:WCD590349 VRV590349:VSH590349 VHZ590349:VIL590349 UYD590349:UYP590349 UOH590349:UOT590349 UEL590349:UEX590349 TUP590349:TVB590349 TKT590349:TLF590349 TAX590349:TBJ590349 SRB590349:SRN590349 SHF590349:SHR590349 RXJ590349:RXV590349 RNN590349:RNZ590349 RDR590349:RED590349 QTV590349:QUH590349 QJZ590349:QKL590349 QAD590349:QAP590349 PQH590349:PQT590349 PGL590349:PGX590349 OWP590349:OXB590349 OMT590349:ONF590349 OCX590349:ODJ590349 NTB590349:NTN590349 NJF590349:NJR590349 MZJ590349:MZV590349 MPN590349:MPZ590349 MFR590349:MGD590349 LVV590349:LWH590349 LLZ590349:LML590349 LCD590349:LCP590349 KSH590349:KST590349 KIL590349:KIX590349 JYP590349:JZB590349 JOT590349:JPF590349 JEX590349:JFJ590349 IVB590349:IVN590349 ILF590349:ILR590349 IBJ590349:IBV590349 HRN590349:HRZ590349 HHR590349:HID590349 GXV590349:GYH590349 GNZ590349:GOL590349 GED590349:GEP590349 FUH590349:FUT590349 FKL590349:FKX590349 FAP590349:FBB590349 EQT590349:ERF590349 EGX590349:EHJ590349 DXB590349:DXN590349 DNF590349:DNR590349 DDJ590349:DDV590349 CTN590349:CTZ590349 CJR590349:CKD590349 BZV590349:CAH590349 BPZ590349:BQL590349 BGD590349:BGP590349 AWH590349:AWT590349 AML590349:AMX590349 ACP590349:ADB590349 ST590349:TF590349 IX590349:JJ590349 WVJ524813:WVV524813 WLN524813:WLZ524813 WBR524813:WCD524813 VRV524813:VSH524813 VHZ524813:VIL524813 UYD524813:UYP524813 UOH524813:UOT524813 UEL524813:UEX524813 TUP524813:TVB524813 TKT524813:TLF524813 TAX524813:TBJ524813 SRB524813:SRN524813 SHF524813:SHR524813 RXJ524813:RXV524813 RNN524813:RNZ524813 RDR524813:RED524813 QTV524813:QUH524813 QJZ524813:QKL524813 QAD524813:QAP524813 PQH524813:PQT524813 PGL524813:PGX524813 OWP524813:OXB524813 OMT524813:ONF524813 OCX524813:ODJ524813 NTB524813:NTN524813 NJF524813:NJR524813 MZJ524813:MZV524813 MPN524813:MPZ524813 MFR524813:MGD524813 LVV524813:LWH524813 LLZ524813:LML524813 LCD524813:LCP524813 KSH524813:KST524813 KIL524813:KIX524813 JYP524813:JZB524813 JOT524813:JPF524813 JEX524813:JFJ524813 IVB524813:IVN524813 ILF524813:ILR524813 IBJ524813:IBV524813 HRN524813:HRZ524813 HHR524813:HID524813 GXV524813:GYH524813 GNZ524813:GOL524813 GED524813:GEP524813 FUH524813:FUT524813 FKL524813:FKX524813 FAP524813:FBB524813 EQT524813:ERF524813 EGX524813:EHJ524813 DXB524813:DXN524813 DNF524813:DNR524813 DDJ524813:DDV524813 CTN524813:CTZ524813 CJR524813:CKD524813 BZV524813:CAH524813 BPZ524813:BQL524813 BGD524813:BGP524813 AWH524813:AWT524813 AML524813:AMX524813 ACP524813:ADB524813 ST524813:TF524813 IX524813:JJ524813 WVJ459277:WVV459277 WLN459277:WLZ459277 WBR459277:WCD459277 VRV459277:VSH459277 VHZ459277:VIL459277 UYD459277:UYP459277 UOH459277:UOT459277 UEL459277:UEX459277 TUP459277:TVB459277 TKT459277:TLF459277 TAX459277:TBJ459277 SRB459277:SRN459277 SHF459277:SHR459277 RXJ459277:RXV459277 RNN459277:RNZ459277 RDR459277:RED459277 QTV459277:QUH459277 QJZ459277:QKL459277 QAD459277:QAP459277 PQH459277:PQT459277 PGL459277:PGX459277 OWP459277:OXB459277 OMT459277:ONF459277 OCX459277:ODJ459277 NTB459277:NTN459277 NJF459277:NJR459277 MZJ459277:MZV459277 MPN459277:MPZ459277 MFR459277:MGD459277 LVV459277:LWH459277 LLZ459277:LML459277 LCD459277:LCP459277 KSH459277:KST459277 KIL459277:KIX459277 JYP459277:JZB459277 JOT459277:JPF459277 JEX459277:JFJ459277 IVB459277:IVN459277 ILF459277:ILR459277 IBJ459277:IBV459277 HRN459277:HRZ459277 HHR459277:HID459277 GXV459277:GYH459277 GNZ459277:GOL459277 GED459277:GEP459277 FUH459277:FUT459277 FKL459277:FKX459277 FAP459277:FBB459277 EQT459277:ERF459277 EGX459277:EHJ459277 DXB459277:DXN459277 DNF459277:DNR459277 DDJ459277:DDV459277 CTN459277:CTZ459277 CJR459277:CKD459277 BZV459277:CAH459277 BPZ459277:BQL459277 BGD459277:BGP459277 AWH459277:AWT459277 AML459277:AMX459277 ACP459277:ADB459277 ST459277:TF459277 IX459277:JJ459277 WVJ393741:WVV393741 WLN393741:WLZ393741 WBR393741:WCD393741 VRV393741:VSH393741 VHZ393741:VIL393741 UYD393741:UYP393741 UOH393741:UOT393741 UEL393741:UEX393741 TUP393741:TVB393741 TKT393741:TLF393741 TAX393741:TBJ393741 SRB393741:SRN393741 SHF393741:SHR393741 RXJ393741:RXV393741 RNN393741:RNZ393741 RDR393741:RED393741 QTV393741:QUH393741 QJZ393741:QKL393741 QAD393741:QAP393741 PQH393741:PQT393741 PGL393741:PGX393741 OWP393741:OXB393741 OMT393741:ONF393741 OCX393741:ODJ393741 NTB393741:NTN393741 NJF393741:NJR393741 MZJ393741:MZV393741 MPN393741:MPZ393741 MFR393741:MGD393741 LVV393741:LWH393741 LLZ393741:LML393741 LCD393741:LCP393741 KSH393741:KST393741 KIL393741:KIX393741 JYP393741:JZB393741 JOT393741:JPF393741 JEX393741:JFJ393741 IVB393741:IVN393741 ILF393741:ILR393741 IBJ393741:IBV393741 HRN393741:HRZ393741 HHR393741:HID393741 GXV393741:GYH393741 GNZ393741:GOL393741 GED393741:GEP393741 FUH393741:FUT393741 FKL393741:FKX393741 FAP393741:FBB393741 EQT393741:ERF393741 EGX393741:EHJ393741 DXB393741:DXN393741 DNF393741:DNR393741 DDJ393741:DDV393741 CTN393741:CTZ393741 CJR393741:CKD393741 BZV393741:CAH393741 BPZ393741:BQL393741 BGD393741:BGP393741 AWH393741:AWT393741 AML393741:AMX393741 ACP393741:ADB393741 ST393741:TF393741 IX393741:JJ393741 WVJ328205:WVV328205 WLN328205:WLZ328205 WBR328205:WCD328205 VRV328205:VSH328205 VHZ328205:VIL328205 UYD328205:UYP328205 UOH328205:UOT328205 UEL328205:UEX328205 TUP328205:TVB328205 TKT328205:TLF328205 TAX328205:TBJ328205 SRB328205:SRN328205 SHF328205:SHR328205 RXJ328205:RXV328205 RNN328205:RNZ328205 RDR328205:RED328205 QTV328205:QUH328205 QJZ328205:QKL328205 QAD328205:QAP328205 PQH328205:PQT328205 PGL328205:PGX328205 OWP328205:OXB328205 OMT328205:ONF328205 OCX328205:ODJ328205 NTB328205:NTN328205 NJF328205:NJR328205 MZJ328205:MZV328205 MPN328205:MPZ328205 MFR328205:MGD328205 LVV328205:LWH328205 LLZ328205:LML328205 LCD328205:LCP328205 KSH328205:KST328205 KIL328205:KIX328205 JYP328205:JZB328205 JOT328205:JPF328205 JEX328205:JFJ328205 IVB328205:IVN328205 ILF328205:ILR328205 IBJ328205:IBV328205 HRN328205:HRZ328205 HHR328205:HID328205 GXV328205:GYH328205 GNZ328205:GOL328205 GED328205:GEP328205 FUH328205:FUT328205 FKL328205:FKX328205 FAP328205:FBB328205 EQT328205:ERF328205 EGX328205:EHJ328205 DXB328205:DXN328205 DNF328205:DNR328205 DDJ328205:DDV328205 CTN328205:CTZ328205 CJR328205:CKD328205 BZV328205:CAH328205 BPZ328205:BQL328205 BGD328205:BGP328205 AWH328205:AWT328205 AML328205:AMX328205 ACP328205:ADB328205 ST328205:TF328205 IX328205:JJ328205 WVJ262669:WVV262669 WLN262669:WLZ262669 WBR262669:WCD262669 VRV262669:VSH262669 VHZ262669:VIL262669 UYD262669:UYP262669 UOH262669:UOT262669 UEL262669:UEX262669 TUP262669:TVB262669 TKT262669:TLF262669 TAX262669:TBJ262669 SRB262669:SRN262669 SHF262669:SHR262669 RXJ262669:RXV262669 RNN262669:RNZ262669 RDR262669:RED262669 QTV262669:QUH262669 QJZ262669:QKL262669 QAD262669:QAP262669 PQH262669:PQT262669 PGL262669:PGX262669 OWP262669:OXB262669 OMT262669:ONF262669 OCX262669:ODJ262669 NTB262669:NTN262669 NJF262669:NJR262669 MZJ262669:MZV262669 MPN262669:MPZ262669 MFR262669:MGD262669 LVV262669:LWH262669 LLZ262669:LML262669 LCD262669:LCP262669 KSH262669:KST262669 KIL262669:KIX262669 JYP262669:JZB262669 JOT262669:JPF262669 JEX262669:JFJ262669 IVB262669:IVN262669 ILF262669:ILR262669 IBJ262669:IBV262669 HRN262669:HRZ262669 HHR262669:HID262669 GXV262669:GYH262669 GNZ262669:GOL262669 GED262669:GEP262669 FUH262669:FUT262669 FKL262669:FKX262669 FAP262669:FBB262669 EQT262669:ERF262669 EGX262669:EHJ262669 DXB262669:DXN262669 DNF262669:DNR262669 DDJ262669:DDV262669 CTN262669:CTZ262669 CJR262669:CKD262669 BZV262669:CAH262669 BPZ262669:BQL262669 BGD262669:BGP262669 AWH262669:AWT262669 AML262669:AMX262669 ACP262669:ADB262669 ST262669:TF262669 IX262669:JJ262669 WVJ197133:WVV197133 WLN197133:WLZ197133 WBR197133:WCD197133 VRV197133:VSH197133 VHZ197133:VIL197133 UYD197133:UYP197133 UOH197133:UOT197133 UEL197133:UEX197133 TUP197133:TVB197133 TKT197133:TLF197133 TAX197133:TBJ197133 SRB197133:SRN197133 SHF197133:SHR197133 RXJ197133:RXV197133 RNN197133:RNZ197133 RDR197133:RED197133 QTV197133:QUH197133 QJZ197133:QKL197133 QAD197133:QAP197133 PQH197133:PQT197133 PGL197133:PGX197133 OWP197133:OXB197133 OMT197133:ONF197133 OCX197133:ODJ197133 NTB197133:NTN197133 NJF197133:NJR197133 MZJ197133:MZV197133 MPN197133:MPZ197133 MFR197133:MGD197133 LVV197133:LWH197133 LLZ197133:LML197133 LCD197133:LCP197133 KSH197133:KST197133 KIL197133:KIX197133 JYP197133:JZB197133 JOT197133:JPF197133 JEX197133:JFJ197133 IVB197133:IVN197133 ILF197133:ILR197133 IBJ197133:IBV197133 HRN197133:HRZ197133 HHR197133:HID197133 GXV197133:GYH197133 GNZ197133:GOL197133 GED197133:GEP197133 FUH197133:FUT197133 FKL197133:FKX197133 FAP197133:FBB197133 EQT197133:ERF197133 EGX197133:EHJ197133 DXB197133:DXN197133 DNF197133:DNR197133 DDJ197133:DDV197133 CTN197133:CTZ197133 CJR197133:CKD197133 BZV197133:CAH197133 BPZ197133:BQL197133 BGD197133:BGP197133 AWH197133:AWT197133 AML197133:AMX197133 ACP197133:ADB197133 ST197133:TF197133 IX197133:JJ197133 WVJ131597:WVV131597 WLN131597:WLZ131597 WBR131597:WCD131597 VRV131597:VSH131597 VHZ131597:VIL131597 UYD131597:UYP131597 UOH131597:UOT131597 UEL131597:UEX131597 TUP131597:TVB131597 TKT131597:TLF131597 TAX131597:TBJ131597 SRB131597:SRN131597 SHF131597:SHR131597 RXJ131597:RXV131597 RNN131597:RNZ131597 RDR131597:RED131597 QTV131597:QUH131597 QJZ131597:QKL131597 QAD131597:QAP131597 PQH131597:PQT131597 PGL131597:PGX131597 OWP131597:OXB131597 OMT131597:ONF131597 OCX131597:ODJ131597 NTB131597:NTN131597 NJF131597:NJR131597 MZJ131597:MZV131597 MPN131597:MPZ131597 MFR131597:MGD131597 LVV131597:LWH131597 LLZ131597:LML131597 LCD131597:LCP131597 KSH131597:KST131597 KIL131597:KIX131597 JYP131597:JZB131597 JOT131597:JPF131597 JEX131597:JFJ131597 IVB131597:IVN131597 ILF131597:ILR131597 IBJ131597:IBV131597 HRN131597:HRZ131597 HHR131597:HID131597 GXV131597:GYH131597 GNZ131597:GOL131597 GED131597:GEP131597 FUH131597:FUT131597 FKL131597:FKX131597 FAP131597:FBB131597 EQT131597:ERF131597 EGX131597:EHJ131597 DXB131597:DXN131597 DNF131597:DNR131597 DDJ131597:DDV131597 CTN131597:CTZ131597 CJR131597:CKD131597 BZV131597:CAH131597 BPZ131597:BQL131597 BGD131597:BGP131597 AWH131597:AWT131597 AML131597:AMX131597 ACP131597:ADB131597 ST131597:TF131597 IX131597:JJ131597 WVJ66061:WVV66061 WLN66061:WLZ66061 WBR66061:WCD66061 VRV66061:VSH66061 VHZ66061:VIL66061 UYD66061:UYP66061 UOH66061:UOT66061 UEL66061:UEX66061 TUP66061:TVB66061 TKT66061:TLF66061 TAX66061:TBJ66061 SRB66061:SRN66061 SHF66061:SHR66061 RXJ66061:RXV66061 RNN66061:RNZ66061 RDR66061:RED66061 QTV66061:QUH66061 QJZ66061:QKL66061 QAD66061:QAP66061 PQH66061:PQT66061 PGL66061:PGX66061 OWP66061:OXB66061 OMT66061:ONF66061 OCX66061:ODJ66061 NTB66061:NTN66061 NJF66061:NJR66061 MZJ66061:MZV66061 MPN66061:MPZ66061 MFR66061:MGD66061 LVV66061:LWH66061 LLZ66061:LML66061 LCD66061:LCP66061 KSH66061:KST66061 KIL66061:KIX66061 JYP66061:JZB66061 JOT66061:JPF66061 JEX66061:JFJ66061 IVB66061:IVN66061 ILF66061:ILR66061 IBJ66061:IBV66061 HRN66061:HRZ66061 HHR66061:HID66061 GXV66061:GYH66061 GNZ66061:GOL66061 GED66061:GEP66061 FUH66061:FUT66061 FKL66061:FKX66061 FAP66061:FBB66061 EQT66061:ERF66061 EGX66061:EHJ66061 DXB66061:DXN66061 DNF66061:DNR66061 DDJ66061:DDV66061 CTN66061:CTZ66061 CJR66061:CKD66061 BZV66061:CAH66061 BPZ66061:BQL66061 BGD66061:BGP66061 AWH66061:AWT66061 AML66061:AMX66061 ACP66061:ADB66061 ST66061:TF66061 WVJ534:WVV534 WLN534:WLZ534 WBR534:WCD534 VRV534:VSH534 VHZ534:VIL534 UYD534:UYP534 UOH534:UOT534 UEL534:UEX534 TUP534:TVB534 TKT534:TLF534 TAX534:TBJ534 SRB534:SRN534 SHF534:SHR534 RXJ534:RXV534 RNN534:RNZ534 RDR534:RED534 QTV534:QUH534 QJZ534:QKL534 QAD534:QAP534 PQH534:PQT534 PGL534:PGX534 OWP534:OXB534 OMT534:ONF534 OCX534:ODJ534 NTB534:NTN534 NJF534:NJR534 MZJ534:MZV534 MPN534:MPZ534 MFR534:MGD534 LVV534:LWH534 LLZ534:LML534 LCD534:LCP534 KSH534:KST534 KIL534:KIX534 JYP534:JZB534 JOT534:JPF534 JEX534:JFJ534 IVB534:IVN534 ILF534:ILR534 IBJ534:IBV534 HRN534:HRZ534 HHR534:HID534 GXV534:GYH534 GNZ534:GOL534 GED534:GEP534 FUH534:FUT534 FKL534:FKX534 FAP534:FBB534 EQT534:ERF534 EGX534:EHJ534 DXB534:DXN534 DNF534:DNR534 DDJ534:DDV534 CTN534:CTZ534 CJR534:CKD534 BZV534:CAH534 BPZ534:BQL534 BGD534:BGP534 AWH534:AWT534 AML534:AMX534 ACP534:ADB534 ST534:TF534 C48:N52 B48:B49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24"/>
  <sheetViews>
    <sheetView topLeftCell="A25" zoomScale="120" workbookViewId="0">
      <selection activeCell="A41" sqref="A41:F41"/>
    </sheetView>
  </sheetViews>
  <sheetFormatPr baseColWidth="10" defaultColWidth="11.5703125" defaultRowHeight="12.75" x14ac:dyDescent="0.2"/>
  <cols>
    <col min="1" max="3" width="11" style="5" customWidth="1"/>
    <col min="4" max="4" width="12.42578125" style="5" customWidth="1"/>
    <col min="5" max="5" width="11.42578125" style="5" customWidth="1"/>
    <col min="6" max="6" width="11.28515625" style="5" customWidth="1"/>
    <col min="7" max="7" width="11.85546875" style="5" customWidth="1"/>
    <col min="8" max="8" width="11.42578125" style="5" customWidth="1"/>
    <col min="9" max="9" width="10.5703125" style="5" customWidth="1"/>
    <col min="10" max="16384" width="11.5703125" style="5"/>
  </cols>
  <sheetData>
    <row r="1" spans="1:10" ht="15.75" x14ac:dyDescent="0.25">
      <c r="A1" s="59" t="str">
        <f>+'CCF ISR'!A1</f>
        <v>Empresa Comercial, SA de CV</v>
      </c>
      <c r="B1" s="58"/>
      <c r="C1" s="58"/>
      <c r="D1" s="68"/>
      <c r="E1" s="68"/>
      <c r="F1" s="68"/>
      <c r="G1" s="68"/>
      <c r="H1" s="68"/>
      <c r="I1" s="68">
        <v>2</v>
      </c>
      <c r="J1" s="68"/>
    </row>
    <row r="2" spans="1:10" x14ac:dyDescent="0.2">
      <c r="A2" s="58" t="s">
        <v>69</v>
      </c>
      <c r="B2" s="58"/>
      <c r="C2" s="58"/>
      <c r="D2" s="58"/>
      <c r="E2" s="58"/>
      <c r="F2" s="58"/>
      <c r="G2" s="68"/>
      <c r="H2" s="68"/>
      <c r="I2" s="68"/>
      <c r="J2" s="68"/>
    </row>
    <row r="3" spans="1:10" x14ac:dyDescent="0.2">
      <c r="A3" s="58" t="s">
        <v>401</v>
      </c>
      <c r="B3" s="58"/>
      <c r="C3" s="58"/>
      <c r="D3" s="68"/>
      <c r="E3" s="68"/>
      <c r="F3" s="68"/>
      <c r="G3" s="68"/>
      <c r="H3" s="68"/>
      <c r="I3" s="68"/>
      <c r="J3" s="68"/>
    </row>
    <row r="4" spans="1:10" x14ac:dyDescent="0.2">
      <c r="A4" s="976" t="s">
        <v>263</v>
      </c>
      <c r="B4" s="977"/>
      <c r="C4" s="978"/>
      <c r="D4" s="9">
        <v>2001</v>
      </c>
      <c r="E4" s="9">
        <v>2002</v>
      </c>
      <c r="F4" s="9">
        <v>2003</v>
      </c>
      <c r="G4" s="9">
        <v>2004</v>
      </c>
      <c r="H4" s="9">
        <v>2005</v>
      </c>
      <c r="I4" s="9">
        <v>2006</v>
      </c>
      <c r="J4" s="68"/>
    </row>
    <row r="5" spans="1:10" x14ac:dyDescent="0.2">
      <c r="A5" s="973" t="s">
        <v>367</v>
      </c>
      <c r="B5" s="974"/>
      <c r="C5" s="975"/>
      <c r="D5" s="56">
        <v>1050000</v>
      </c>
      <c r="E5" s="56">
        <v>950000</v>
      </c>
      <c r="F5" s="33">
        <f>+ER!O14</f>
        <v>850000</v>
      </c>
      <c r="G5" s="33">
        <f>+ER!O23</f>
        <v>1130000</v>
      </c>
      <c r="H5" s="33">
        <v>600000</v>
      </c>
      <c r="I5" s="33">
        <f>+ER!M23</f>
        <v>1130000</v>
      </c>
      <c r="J5" s="68"/>
    </row>
    <row r="6" spans="1:10" x14ac:dyDescent="0.2">
      <c r="A6" s="973" t="s">
        <v>368</v>
      </c>
      <c r="B6" s="974"/>
      <c r="C6" s="975"/>
      <c r="D6" s="33"/>
      <c r="E6" s="56">
        <v>6000000</v>
      </c>
      <c r="F6" s="56">
        <v>6600000</v>
      </c>
      <c r="G6" s="33">
        <f>+ER!O21</f>
        <v>6713000</v>
      </c>
      <c r="H6" s="33"/>
      <c r="I6" s="33"/>
      <c r="J6" s="68"/>
    </row>
    <row r="7" spans="1:10" ht="24.75" customHeight="1" x14ac:dyDescent="0.2">
      <c r="A7" s="986" t="s">
        <v>524</v>
      </c>
      <c r="B7" s="987"/>
      <c r="C7" s="988"/>
      <c r="D7" s="33"/>
      <c r="E7" s="33"/>
      <c r="F7" s="33"/>
      <c r="G7" s="32">
        <v>53000</v>
      </c>
      <c r="H7" s="33"/>
      <c r="I7" s="33"/>
      <c r="J7" s="68"/>
    </row>
    <row r="8" spans="1:10" ht="24.75" customHeight="1" x14ac:dyDescent="0.2">
      <c r="A8" s="986" t="s">
        <v>369</v>
      </c>
      <c r="B8" s="987"/>
      <c r="C8" s="988"/>
      <c r="D8" s="33"/>
      <c r="E8" s="33"/>
      <c r="F8" s="33"/>
      <c r="G8" s="32">
        <v>112000</v>
      </c>
      <c r="H8" s="33"/>
      <c r="I8" s="33"/>
      <c r="J8" s="68"/>
    </row>
    <row r="9" spans="1:10" ht="16.5" customHeight="1" x14ac:dyDescent="0.2">
      <c r="A9" s="990" t="s">
        <v>68</v>
      </c>
      <c r="B9" s="991"/>
      <c r="C9" s="991"/>
      <c r="D9" s="991"/>
      <c r="E9" s="991"/>
      <c r="F9" s="991"/>
      <c r="G9" s="991"/>
      <c r="H9" s="992"/>
      <c r="I9" s="68"/>
      <c r="J9" s="68"/>
    </row>
    <row r="10" spans="1:10" x14ac:dyDescent="0.2">
      <c r="A10" s="973" t="s">
        <v>78</v>
      </c>
      <c r="B10" s="974"/>
      <c r="C10" s="975"/>
      <c r="D10" s="33"/>
      <c r="E10" s="33"/>
      <c r="F10" s="32">
        <v>130000</v>
      </c>
      <c r="G10" s="32">
        <v>134000</v>
      </c>
      <c r="H10" s="33"/>
      <c r="I10" s="33"/>
      <c r="J10" s="68"/>
    </row>
    <row r="11" spans="1:10" x14ac:dyDescent="0.2">
      <c r="A11" s="973" t="s">
        <v>252</v>
      </c>
      <c r="B11" s="974"/>
      <c r="C11" s="975"/>
      <c r="D11" s="33"/>
      <c r="E11" s="33"/>
      <c r="F11" s="32">
        <v>131000</v>
      </c>
      <c r="G11" s="32">
        <v>135000</v>
      </c>
      <c r="H11" s="33"/>
      <c r="I11" s="33"/>
      <c r="J11" s="68"/>
    </row>
    <row r="12" spans="1:10" x14ac:dyDescent="0.2">
      <c r="A12" s="973" t="s">
        <v>253</v>
      </c>
      <c r="B12" s="974"/>
      <c r="C12" s="975"/>
      <c r="D12" s="33"/>
      <c r="E12" s="33"/>
      <c r="F12" s="32">
        <v>132000</v>
      </c>
      <c r="G12" s="32">
        <v>136000</v>
      </c>
      <c r="H12" s="33"/>
      <c r="I12" s="33"/>
      <c r="J12" s="68"/>
    </row>
    <row r="13" spans="1:10" x14ac:dyDescent="0.2">
      <c r="A13" s="973" t="s">
        <v>254</v>
      </c>
      <c r="B13" s="974"/>
      <c r="C13" s="975"/>
      <c r="D13" s="33"/>
      <c r="E13" s="33"/>
      <c r="F13" s="32">
        <v>134000</v>
      </c>
      <c r="G13" s="32">
        <v>137000</v>
      </c>
      <c r="H13" s="33"/>
      <c r="I13" s="33"/>
      <c r="J13" s="68"/>
    </row>
    <row r="14" spans="1:10" x14ac:dyDescent="0.2">
      <c r="A14" s="973" t="s">
        <v>255</v>
      </c>
      <c r="B14" s="974"/>
      <c r="C14" s="975"/>
      <c r="D14" s="33"/>
      <c r="E14" s="33"/>
      <c r="F14" s="32">
        <v>137000</v>
      </c>
      <c r="G14" s="32">
        <v>210000</v>
      </c>
      <c r="H14" s="33"/>
      <c r="I14" s="33"/>
      <c r="J14" s="68"/>
    </row>
    <row r="15" spans="1:10" ht="25.5" customHeight="1" thickBot="1" x14ac:dyDescent="0.25">
      <c r="A15" s="1007" t="s">
        <v>370</v>
      </c>
      <c r="B15" s="1008"/>
      <c r="C15" s="1009"/>
      <c r="D15" s="55"/>
      <c r="E15" s="55"/>
      <c r="F15" s="141">
        <v>138500</v>
      </c>
      <c r="G15" s="141">
        <v>210300</v>
      </c>
      <c r="H15" s="55"/>
      <c r="I15" s="55"/>
      <c r="J15" s="68"/>
    </row>
    <row r="16" spans="1:10" x14ac:dyDescent="0.2">
      <c r="A16" s="1004" t="s">
        <v>371</v>
      </c>
      <c r="B16" s="1005"/>
      <c r="C16" s="1006"/>
      <c r="D16" s="80"/>
      <c r="E16" s="80"/>
      <c r="F16" s="80"/>
      <c r="G16" s="30"/>
      <c r="H16" s="80">
        <f>+ER!N11</f>
        <v>7843000</v>
      </c>
      <c r="I16" s="80">
        <f>+ER!M11</f>
        <v>7843000</v>
      </c>
      <c r="J16" s="68"/>
    </row>
    <row r="17" spans="1:18" x14ac:dyDescent="0.2">
      <c r="A17" s="986" t="s">
        <v>361</v>
      </c>
      <c r="B17" s="987"/>
      <c r="C17" s="988"/>
      <c r="D17" s="33"/>
      <c r="E17" s="33"/>
      <c r="F17" s="33"/>
      <c r="G17" s="31"/>
      <c r="H17" s="33">
        <f>+ER!N24</f>
        <v>6713000</v>
      </c>
      <c r="I17" s="33">
        <f>+ER!M24</f>
        <v>6713000</v>
      </c>
      <c r="J17" s="68"/>
    </row>
    <row r="18" spans="1:18" x14ac:dyDescent="0.2">
      <c r="A18" s="973" t="s">
        <v>3</v>
      </c>
      <c r="B18" s="974"/>
      <c r="C18" s="975"/>
      <c r="D18" s="53"/>
      <c r="E18" s="53"/>
      <c r="F18" s="53"/>
      <c r="G18" s="53"/>
      <c r="H18" s="81">
        <f>+H17/H16</f>
        <v>0.85592247864337623</v>
      </c>
      <c r="I18" s="87">
        <f>+I17/I16</f>
        <v>0.85592247864337623</v>
      </c>
      <c r="J18" s="68"/>
    </row>
    <row r="19" spans="1:18" x14ac:dyDescent="0.2">
      <c r="A19" s="68"/>
      <c r="B19" s="68"/>
      <c r="C19" s="68"/>
      <c r="D19" s="68"/>
      <c r="E19" s="68"/>
      <c r="F19" s="68"/>
      <c r="G19" s="68"/>
      <c r="H19" s="68"/>
      <c r="I19" s="68"/>
      <c r="J19" s="68"/>
    </row>
    <row r="20" spans="1:18" x14ac:dyDescent="0.2">
      <c r="A20" s="68"/>
      <c r="B20" s="68"/>
      <c r="C20" s="68"/>
      <c r="D20" s="68"/>
      <c r="E20" s="68"/>
      <c r="F20" s="68"/>
      <c r="G20" s="88"/>
      <c r="H20" s="52"/>
      <c r="I20" s="52"/>
      <c r="J20" s="52"/>
      <c r="K20" s="52"/>
      <c r="L20" s="52"/>
      <c r="M20" s="52"/>
      <c r="N20" s="52"/>
      <c r="O20" s="52"/>
      <c r="P20" s="52"/>
      <c r="Q20" s="52"/>
      <c r="R20" s="52"/>
    </row>
    <row r="21" spans="1:18" ht="33" customHeight="1" x14ac:dyDescent="0.2">
      <c r="A21" s="1036" t="s">
        <v>372</v>
      </c>
      <c r="B21" s="1037"/>
      <c r="C21" s="1037"/>
      <c r="D21" s="1037"/>
      <c r="E21" s="1038"/>
      <c r="F21" s="82"/>
      <c r="G21" s="41"/>
      <c r="H21" s="41"/>
      <c r="I21" s="41"/>
      <c r="J21" s="41"/>
      <c r="K21" s="41"/>
      <c r="L21" s="52"/>
      <c r="M21" s="41"/>
      <c r="N21" s="41"/>
      <c r="O21" s="41"/>
      <c r="P21" s="41"/>
      <c r="Q21" s="41"/>
      <c r="R21" s="52"/>
    </row>
    <row r="22" spans="1:18" ht="43.5" customHeight="1" thickBot="1" x14ac:dyDescent="0.25">
      <c r="A22" s="4" t="s">
        <v>256</v>
      </c>
      <c r="B22" s="986" t="s">
        <v>402</v>
      </c>
      <c r="C22" s="987"/>
      <c r="D22" s="988"/>
      <c r="E22" s="33">
        <f>G5</f>
        <v>1130000</v>
      </c>
      <c r="F22" s="86"/>
      <c r="G22" s="41"/>
      <c r="H22" s="88"/>
      <c r="I22" s="88"/>
      <c r="J22" s="88"/>
      <c r="K22" s="89"/>
      <c r="L22" s="52"/>
      <c r="M22" s="41"/>
      <c r="N22" s="88"/>
      <c r="O22" s="88"/>
      <c r="P22" s="88"/>
      <c r="Q22" s="89"/>
      <c r="R22" s="52"/>
    </row>
    <row r="23" spans="1:18" ht="17.25" customHeight="1" x14ac:dyDescent="0.2">
      <c r="A23" s="973" t="s">
        <v>373</v>
      </c>
      <c r="B23" s="974"/>
      <c r="C23" s="974"/>
      <c r="D23" s="974"/>
      <c r="E23" s="974"/>
      <c r="F23" s="129">
        <v>1</v>
      </c>
      <c r="G23" s="130">
        <f>+F40</f>
        <v>21000</v>
      </c>
      <c r="H23" s="88"/>
      <c r="I23" s="88"/>
      <c r="J23" s="88"/>
      <c r="K23" s="88"/>
      <c r="L23" s="52"/>
      <c r="M23" s="88"/>
      <c r="N23" s="88"/>
      <c r="O23" s="88"/>
      <c r="P23" s="88"/>
      <c r="Q23" s="88"/>
      <c r="R23" s="52"/>
    </row>
    <row r="24" spans="1:18" ht="27" customHeight="1" x14ac:dyDescent="0.2">
      <c r="A24" s="90" t="s">
        <v>257</v>
      </c>
      <c r="B24" s="986" t="s">
        <v>525</v>
      </c>
      <c r="C24" s="987"/>
      <c r="D24" s="988"/>
      <c r="E24" s="127">
        <f>G7</f>
        <v>53000</v>
      </c>
      <c r="F24" s="131">
        <v>2</v>
      </c>
      <c r="G24" s="132">
        <f>+F52</f>
        <v>84000</v>
      </c>
      <c r="H24" s="88"/>
      <c r="I24" s="88"/>
      <c r="J24" s="88"/>
      <c r="K24" s="89"/>
      <c r="L24" s="52"/>
      <c r="M24" s="84"/>
      <c r="N24" s="88"/>
      <c r="O24" s="88"/>
      <c r="P24" s="88"/>
      <c r="Q24" s="89"/>
      <c r="R24" s="52"/>
    </row>
    <row r="25" spans="1:18" ht="24.75" customHeight="1" x14ac:dyDescent="0.2">
      <c r="A25" s="90" t="s">
        <v>258</v>
      </c>
      <c r="B25" s="986" t="s">
        <v>400</v>
      </c>
      <c r="C25" s="987"/>
      <c r="D25" s="988"/>
      <c r="E25" s="127">
        <f>G8</f>
        <v>112000</v>
      </c>
      <c r="F25" s="131">
        <v>3</v>
      </c>
      <c r="G25" s="132">
        <f>+F64</f>
        <v>49500</v>
      </c>
      <c r="H25" s="88"/>
      <c r="I25" s="88"/>
      <c r="J25" s="88"/>
      <c r="K25" s="89"/>
      <c r="L25" s="52"/>
      <c r="M25" s="84"/>
      <c r="N25" s="88"/>
      <c r="O25" s="88"/>
      <c r="P25" s="88"/>
      <c r="Q25" s="89"/>
      <c r="R25" s="52"/>
    </row>
    <row r="26" spans="1:18" ht="41.25" customHeight="1" thickBot="1" x14ac:dyDescent="0.25">
      <c r="A26" s="90" t="s">
        <v>259</v>
      </c>
      <c r="B26" s="986" t="s">
        <v>42</v>
      </c>
      <c r="C26" s="987"/>
      <c r="D26" s="988"/>
      <c r="E26" s="128">
        <f>F40</f>
        <v>21000</v>
      </c>
      <c r="F26" s="133">
        <v>4</v>
      </c>
      <c r="G26" s="134">
        <f>+F72</f>
        <v>71800</v>
      </c>
      <c r="H26" s="88"/>
      <c r="I26" s="88"/>
      <c r="J26" s="88"/>
      <c r="K26" s="89"/>
      <c r="L26" s="52"/>
      <c r="M26" s="84"/>
      <c r="N26" s="88"/>
      <c r="O26" s="88"/>
      <c r="P26" s="88"/>
      <c r="Q26" s="89"/>
      <c r="R26" s="52"/>
    </row>
    <row r="27" spans="1:18" x14ac:dyDescent="0.2">
      <c r="A27" s="1013" t="s">
        <v>374</v>
      </c>
      <c r="B27" s="1014"/>
      <c r="C27" s="1014"/>
      <c r="D27" s="45">
        <f>+E27/E22</f>
        <v>0.83539823008849556</v>
      </c>
      <c r="E27" s="8">
        <f>IF(+E22-E24-E25-E26&gt;0,+E22-E24-E25-E26,0)</f>
        <v>944000</v>
      </c>
      <c r="H27" s="72"/>
      <c r="I27" s="72"/>
      <c r="J27" s="71"/>
      <c r="K27" s="54"/>
      <c r="L27" s="52"/>
      <c r="M27" s="72"/>
      <c r="N27" s="72"/>
      <c r="O27" s="72"/>
      <c r="P27" s="71"/>
      <c r="Q27" s="54"/>
      <c r="R27" s="52"/>
    </row>
    <row r="28" spans="1:18" x14ac:dyDescent="0.2">
      <c r="A28" s="68"/>
      <c r="B28" s="57"/>
      <c r="C28" s="57"/>
      <c r="D28" s="57"/>
      <c r="E28" s="57"/>
      <c r="H28" s="88"/>
      <c r="I28" s="52"/>
      <c r="J28" s="52"/>
      <c r="K28" s="52"/>
      <c r="L28" s="52"/>
      <c r="M28" s="88"/>
      <c r="N28" s="52"/>
      <c r="O28" s="52"/>
      <c r="P28" s="52"/>
      <c r="Q28" s="52"/>
      <c r="R28" s="52"/>
    </row>
    <row r="29" spans="1:18" x14ac:dyDescent="0.2">
      <c r="A29" s="68"/>
      <c r="B29" s="68"/>
      <c r="C29" s="68"/>
      <c r="D29" s="68"/>
      <c r="E29" s="68"/>
      <c r="H29" s="52"/>
      <c r="I29" s="52"/>
      <c r="J29" s="52"/>
      <c r="K29" s="91"/>
      <c r="L29" s="52"/>
      <c r="M29" s="88"/>
      <c r="N29" s="88"/>
      <c r="O29" s="52"/>
      <c r="P29" s="52"/>
      <c r="Q29" s="52"/>
      <c r="R29" s="52"/>
    </row>
    <row r="30" spans="1:18" x14ac:dyDescent="0.2">
      <c r="A30" s="960" t="s">
        <v>375</v>
      </c>
      <c r="B30" s="961"/>
      <c r="C30" s="961"/>
      <c r="D30" s="961"/>
      <c r="E30" s="961"/>
      <c r="F30" s="962"/>
      <c r="G30" s="52"/>
      <c r="H30" s="52"/>
      <c r="I30" s="52"/>
      <c r="J30" s="52"/>
      <c r="K30" s="91"/>
      <c r="L30" s="52"/>
      <c r="M30" s="88"/>
      <c r="N30" s="88"/>
      <c r="O30" s="52"/>
      <c r="P30" s="52"/>
      <c r="Q30" s="91"/>
      <c r="R30" s="52"/>
    </row>
    <row r="31" spans="1:18" x14ac:dyDescent="0.2">
      <c r="A31" s="1042" t="s">
        <v>79</v>
      </c>
      <c r="B31" s="1043"/>
      <c r="C31" s="1043"/>
      <c r="D31" s="1043"/>
      <c r="E31" s="1043"/>
      <c r="F31" s="1044"/>
      <c r="G31" s="52"/>
      <c r="H31" s="52"/>
      <c r="I31" s="52"/>
      <c r="J31" s="52"/>
      <c r="K31" s="91"/>
      <c r="L31" s="52"/>
      <c r="M31" s="88"/>
      <c r="N31" s="88"/>
      <c r="O31" s="52"/>
      <c r="P31" s="52"/>
      <c r="Q31" s="91"/>
      <c r="R31" s="52"/>
    </row>
    <row r="32" spans="1:18" x14ac:dyDescent="0.2">
      <c r="A32" s="968" t="s">
        <v>376</v>
      </c>
      <c r="B32" s="968"/>
      <c r="C32" s="968"/>
      <c r="D32" s="968"/>
      <c r="E32" s="9">
        <v>2003</v>
      </c>
      <c r="F32" s="9">
        <v>2004</v>
      </c>
      <c r="G32" s="52"/>
      <c r="H32" s="52"/>
      <c r="I32" s="52"/>
      <c r="J32" s="52"/>
      <c r="K32" s="52"/>
      <c r="L32" s="52"/>
      <c r="M32" s="52"/>
      <c r="N32" s="52"/>
      <c r="O32" s="52"/>
      <c r="P32" s="52"/>
      <c r="Q32" s="91"/>
      <c r="R32" s="52"/>
    </row>
    <row r="33" spans="1:18" x14ac:dyDescent="0.2">
      <c r="A33" s="969" t="s">
        <v>252</v>
      </c>
      <c r="B33" s="969"/>
      <c r="C33" s="969"/>
      <c r="D33" s="969"/>
      <c r="E33" s="33">
        <f>F11</f>
        <v>131000</v>
      </c>
      <c r="F33" s="33">
        <f>G11</f>
        <v>135000</v>
      </c>
      <c r="G33" s="52"/>
      <c r="H33" s="52"/>
      <c r="I33" s="52"/>
      <c r="J33" s="52"/>
      <c r="K33" s="91"/>
      <c r="L33" s="52"/>
      <c r="M33" s="52"/>
      <c r="N33" s="52"/>
      <c r="O33" s="52"/>
      <c r="P33" s="52"/>
      <c r="Q33" s="91"/>
      <c r="R33" s="52"/>
    </row>
    <row r="34" spans="1:18" x14ac:dyDescent="0.2">
      <c r="A34" s="969" t="s">
        <v>253</v>
      </c>
      <c r="B34" s="969"/>
      <c r="C34" s="969"/>
      <c r="D34" s="969"/>
      <c r="E34" s="33">
        <f t="shared" ref="E34:F36" si="0">F12</f>
        <v>132000</v>
      </c>
      <c r="F34" s="33">
        <f t="shared" si="0"/>
        <v>136000</v>
      </c>
      <c r="G34" s="52"/>
      <c r="H34" s="52"/>
      <c r="I34" s="52"/>
      <c r="J34" s="52"/>
      <c r="K34" s="91"/>
      <c r="L34" s="52"/>
      <c r="M34" s="52"/>
      <c r="N34" s="52"/>
      <c r="O34" s="52"/>
      <c r="P34" s="52"/>
      <c r="Q34" s="52"/>
      <c r="R34" s="52"/>
    </row>
    <row r="35" spans="1:18" x14ac:dyDescent="0.2">
      <c r="A35" s="969" t="s">
        <v>254</v>
      </c>
      <c r="B35" s="969"/>
      <c r="C35" s="969"/>
      <c r="D35" s="969"/>
      <c r="E35" s="33">
        <f t="shared" si="0"/>
        <v>134000</v>
      </c>
      <c r="F35" s="33">
        <f t="shared" si="0"/>
        <v>137000</v>
      </c>
      <c r="G35" s="52"/>
      <c r="H35" s="52"/>
      <c r="I35" s="52"/>
      <c r="J35" s="52"/>
      <c r="K35" s="91"/>
      <c r="L35" s="52"/>
      <c r="M35" s="52"/>
      <c r="N35" s="52"/>
      <c r="O35" s="52"/>
      <c r="P35" s="52"/>
      <c r="Q35" s="91"/>
      <c r="R35" s="52"/>
    </row>
    <row r="36" spans="1:18" ht="13.5" thickBot="1" x14ac:dyDescent="0.25">
      <c r="A36" s="1039" t="s">
        <v>255</v>
      </c>
      <c r="B36" s="1039"/>
      <c r="C36" s="1039"/>
      <c r="D36" s="1039"/>
      <c r="E36" s="55">
        <f t="shared" si="0"/>
        <v>137000</v>
      </c>
      <c r="F36" s="55">
        <f t="shared" si="0"/>
        <v>210000</v>
      </c>
      <c r="G36" s="52"/>
      <c r="H36" s="52"/>
      <c r="I36" s="52"/>
      <c r="J36" s="52"/>
      <c r="K36" s="52"/>
      <c r="L36" s="52"/>
      <c r="M36" s="52"/>
      <c r="N36" s="52"/>
      <c r="O36" s="52"/>
      <c r="P36" s="52"/>
      <c r="Q36" s="91"/>
      <c r="R36" s="52"/>
    </row>
    <row r="37" spans="1:18" ht="16.5" customHeight="1" x14ac:dyDescent="0.2">
      <c r="A37" s="970" t="s">
        <v>350</v>
      </c>
      <c r="B37" s="971"/>
      <c r="C37" s="971"/>
      <c r="D37" s="972"/>
      <c r="E37" s="10">
        <f>SUM(E33:E36)</f>
        <v>534000</v>
      </c>
      <c r="F37" s="10">
        <f>SUM(F33:F36)</f>
        <v>618000</v>
      </c>
      <c r="G37" s="52"/>
      <c r="H37" s="52"/>
      <c r="I37" s="52"/>
      <c r="J37" s="52"/>
      <c r="K37" s="52"/>
      <c r="L37" s="52"/>
      <c r="M37" s="52"/>
      <c r="N37" s="52"/>
      <c r="O37" s="52"/>
      <c r="P37" s="52"/>
      <c r="Q37" s="91"/>
      <c r="R37" s="52"/>
    </row>
    <row r="38" spans="1:18" x14ac:dyDescent="0.2">
      <c r="A38" s="969" t="s">
        <v>377</v>
      </c>
      <c r="B38" s="969"/>
      <c r="C38" s="969"/>
      <c r="D38" s="969"/>
      <c r="E38" s="92">
        <v>4</v>
      </c>
      <c r="F38" s="92">
        <v>4</v>
      </c>
      <c r="G38" s="52"/>
      <c r="H38" s="52"/>
      <c r="I38" s="52"/>
      <c r="J38" s="52"/>
      <c r="K38" s="52"/>
      <c r="L38" s="52"/>
      <c r="M38" s="52"/>
      <c r="N38" s="52"/>
      <c r="O38" s="52"/>
      <c r="P38" s="52"/>
      <c r="Q38" s="91"/>
      <c r="R38" s="52"/>
    </row>
    <row r="39" spans="1:18" ht="30.75" customHeight="1" thickBot="1" x14ac:dyDescent="0.25">
      <c r="A39" s="1018" t="s">
        <v>76</v>
      </c>
      <c r="B39" s="1019"/>
      <c r="C39" s="1019"/>
      <c r="D39" s="1020"/>
      <c r="E39" s="93">
        <f>E37/E38</f>
        <v>133500</v>
      </c>
      <c r="F39" s="33">
        <f>F37/F38</f>
        <v>154500</v>
      </c>
      <c r="G39" s="52"/>
      <c r="H39" s="52"/>
      <c r="I39" s="52"/>
      <c r="J39" s="52"/>
      <c r="K39" s="52"/>
      <c r="L39" s="52"/>
      <c r="M39" s="52"/>
      <c r="N39" s="52"/>
      <c r="O39" s="52"/>
      <c r="P39" s="52"/>
      <c r="Q39" s="52"/>
      <c r="R39" s="52"/>
    </row>
    <row r="40" spans="1:18" ht="17.25" customHeight="1" thickBot="1" x14ac:dyDescent="0.25">
      <c r="A40" s="60" t="s">
        <v>77</v>
      </c>
      <c r="B40" s="61"/>
      <c r="C40" s="61"/>
      <c r="D40" s="61"/>
      <c r="E40" s="76" t="s">
        <v>528</v>
      </c>
      <c r="F40" s="75">
        <f>IF(+F39-E39&gt;0,+F39-E39,0)</f>
        <v>21000</v>
      </c>
      <c r="G40" s="52"/>
      <c r="H40" s="52"/>
      <c r="I40" s="52"/>
      <c r="J40" s="52"/>
      <c r="K40" s="52"/>
      <c r="L40" s="52"/>
      <c r="M40" s="52"/>
      <c r="N40" s="52"/>
      <c r="O40" s="52"/>
      <c r="P40" s="52"/>
      <c r="Q40" s="52"/>
      <c r="R40" s="52"/>
    </row>
    <row r="41" spans="1:18" ht="27" customHeight="1" x14ac:dyDescent="0.2">
      <c r="A41" s="990" t="s">
        <v>378</v>
      </c>
      <c r="B41" s="991"/>
      <c r="C41" s="991"/>
      <c r="D41" s="991"/>
      <c r="E41" s="1045"/>
      <c r="F41" s="992"/>
    </row>
    <row r="42" spans="1:18" x14ac:dyDescent="0.2">
      <c r="A42" s="963"/>
      <c r="B42" s="963"/>
      <c r="C42" s="963"/>
      <c r="D42" s="963"/>
      <c r="E42" s="963"/>
      <c r="F42" s="963"/>
    </row>
    <row r="43" spans="1:18" hidden="1" x14ac:dyDescent="0.2">
      <c r="A43" s="62"/>
      <c r="B43" s="62"/>
      <c r="C43" s="62"/>
      <c r="D43" s="62"/>
      <c r="E43" s="62"/>
      <c r="F43" s="62"/>
    </row>
    <row r="44" spans="1:18" hidden="1" x14ac:dyDescent="0.2">
      <c r="A44" s="960" t="s">
        <v>375</v>
      </c>
      <c r="B44" s="961"/>
      <c r="C44" s="961"/>
      <c r="D44" s="961"/>
      <c r="E44" s="961"/>
      <c r="F44" s="962"/>
    </row>
    <row r="45" spans="1:18" hidden="1" x14ac:dyDescent="0.2">
      <c r="A45" s="1042" t="s">
        <v>80</v>
      </c>
      <c r="B45" s="1043"/>
      <c r="C45" s="1043"/>
      <c r="D45" s="1043"/>
      <c r="E45" s="1043"/>
      <c r="F45" s="1044"/>
    </row>
    <row r="46" spans="1:18" hidden="1" x14ac:dyDescent="0.2">
      <c r="A46" s="968" t="s">
        <v>376</v>
      </c>
      <c r="B46" s="968"/>
      <c r="C46" s="968"/>
      <c r="D46" s="968"/>
      <c r="E46" s="9">
        <v>2003</v>
      </c>
      <c r="F46" s="9">
        <v>2004</v>
      </c>
    </row>
    <row r="47" spans="1:18" hidden="1" x14ac:dyDescent="0.2">
      <c r="A47" s="967" t="s">
        <v>252</v>
      </c>
      <c r="B47" s="967"/>
      <c r="C47" s="967"/>
      <c r="D47" s="967"/>
      <c r="E47" s="33">
        <f>+E33</f>
        <v>131000</v>
      </c>
      <c r="F47" s="33">
        <f>+F33</f>
        <v>135000</v>
      </c>
    </row>
    <row r="48" spans="1:18" hidden="1" x14ac:dyDescent="0.2">
      <c r="A48" s="967" t="s">
        <v>253</v>
      </c>
      <c r="B48" s="967"/>
      <c r="C48" s="967"/>
      <c r="D48" s="967"/>
      <c r="E48" s="33">
        <f t="shared" ref="E48:F50" si="1">+E34</f>
        <v>132000</v>
      </c>
      <c r="F48" s="33">
        <f t="shared" si="1"/>
        <v>136000</v>
      </c>
    </row>
    <row r="49" spans="1:6" hidden="1" x14ac:dyDescent="0.2">
      <c r="A49" s="967" t="s">
        <v>254</v>
      </c>
      <c r="B49" s="967"/>
      <c r="C49" s="967"/>
      <c r="D49" s="967"/>
      <c r="E49" s="33">
        <f t="shared" si="1"/>
        <v>134000</v>
      </c>
      <c r="F49" s="33">
        <f t="shared" si="1"/>
        <v>137000</v>
      </c>
    </row>
    <row r="50" spans="1:6" ht="13.5" hidden="1" thickBot="1" x14ac:dyDescent="0.25">
      <c r="A50" s="959" t="s">
        <v>255</v>
      </c>
      <c r="B50" s="959"/>
      <c r="C50" s="959"/>
      <c r="D50" s="959"/>
      <c r="E50" s="55">
        <f t="shared" si="1"/>
        <v>137000</v>
      </c>
      <c r="F50" s="55">
        <f t="shared" si="1"/>
        <v>210000</v>
      </c>
    </row>
    <row r="51" spans="1:6" ht="13.5" hidden="1" thickBot="1" x14ac:dyDescent="0.25">
      <c r="A51" s="1028" t="s">
        <v>350</v>
      </c>
      <c r="B51" s="1029"/>
      <c r="C51" s="1029"/>
      <c r="D51" s="1030"/>
      <c r="E51" s="10">
        <f>SUM(E47:E50)</f>
        <v>534000</v>
      </c>
      <c r="F51" s="10">
        <f>SUM(F47:F50)</f>
        <v>618000</v>
      </c>
    </row>
    <row r="52" spans="1:6" ht="13.5" hidden="1" thickBot="1" x14ac:dyDescent="0.25">
      <c r="A52" s="982" t="s">
        <v>77</v>
      </c>
      <c r="B52" s="983"/>
      <c r="C52" s="983"/>
      <c r="D52" s="983"/>
      <c r="E52" s="76" t="s">
        <v>528</v>
      </c>
      <c r="F52" s="50">
        <f>+F51-E51</f>
        <v>84000</v>
      </c>
    </row>
    <row r="53" spans="1:6" ht="27" hidden="1" customHeight="1" x14ac:dyDescent="0.2">
      <c r="A53" s="979" t="s">
        <v>378</v>
      </c>
      <c r="B53" s="980"/>
      <c r="C53" s="980"/>
      <c r="D53" s="980"/>
      <c r="E53" s="980"/>
      <c r="F53" s="981"/>
    </row>
    <row r="54" spans="1:6" hidden="1" x14ac:dyDescent="0.2">
      <c r="A54" s="62"/>
      <c r="B54" s="62"/>
      <c r="C54" s="62"/>
      <c r="D54" s="62"/>
      <c r="E54" s="62"/>
      <c r="F54" s="62"/>
    </row>
    <row r="55" spans="1:6" hidden="1" x14ac:dyDescent="0.2">
      <c r="A55" s="960" t="s">
        <v>375</v>
      </c>
      <c r="B55" s="961"/>
      <c r="C55" s="961"/>
      <c r="D55" s="961"/>
      <c r="E55" s="961"/>
      <c r="F55" s="962"/>
    </row>
    <row r="56" spans="1:6" hidden="1" x14ac:dyDescent="0.2">
      <c r="A56" s="964" t="s">
        <v>81</v>
      </c>
      <c r="B56" s="965"/>
      <c r="C56" s="965"/>
      <c r="D56" s="965"/>
      <c r="E56" s="965"/>
      <c r="F56" s="966"/>
    </row>
    <row r="57" spans="1:6" hidden="1" x14ac:dyDescent="0.2">
      <c r="A57" s="47" t="s">
        <v>82</v>
      </c>
      <c r="B57" s="47"/>
      <c r="C57" s="46">
        <v>2003</v>
      </c>
      <c r="D57" s="46">
        <v>2003</v>
      </c>
      <c r="E57" s="46">
        <v>2004</v>
      </c>
      <c r="F57" s="46">
        <v>2004</v>
      </c>
    </row>
    <row r="58" spans="1:6" hidden="1" x14ac:dyDescent="0.2">
      <c r="A58" s="984" t="s">
        <v>78</v>
      </c>
      <c r="B58" s="985"/>
      <c r="C58" s="94">
        <f>+F10</f>
        <v>130000</v>
      </c>
      <c r="D58" s="53"/>
      <c r="E58" s="94">
        <f>+G10</f>
        <v>134000</v>
      </c>
      <c r="F58" s="33">
        <f>+B32</f>
        <v>0</v>
      </c>
    </row>
    <row r="59" spans="1:6" hidden="1" x14ac:dyDescent="0.2">
      <c r="A59" s="984" t="s">
        <v>252</v>
      </c>
      <c r="B59" s="985"/>
      <c r="C59" s="94">
        <f>+E47</f>
        <v>131000</v>
      </c>
      <c r="D59" s="95">
        <f>(+C58+C59)/2</f>
        <v>130500</v>
      </c>
      <c r="E59" s="94">
        <f>+F47</f>
        <v>135000</v>
      </c>
      <c r="F59" s="95">
        <f>(+E58+E59)/2</f>
        <v>134500</v>
      </c>
    </row>
    <row r="60" spans="1:6" hidden="1" x14ac:dyDescent="0.2">
      <c r="A60" s="984" t="s">
        <v>253</v>
      </c>
      <c r="B60" s="985"/>
      <c r="C60" s="94">
        <f>+E48</f>
        <v>132000</v>
      </c>
      <c r="D60" s="95">
        <f>(+C59+C60)/2</f>
        <v>131500</v>
      </c>
      <c r="E60" s="94">
        <f>+F48</f>
        <v>136000</v>
      </c>
      <c r="F60" s="95">
        <f>(+E59+E60)/2</f>
        <v>135500</v>
      </c>
    </row>
    <row r="61" spans="1:6" hidden="1" x14ac:dyDescent="0.2">
      <c r="A61" s="984" t="s">
        <v>254</v>
      </c>
      <c r="B61" s="985"/>
      <c r="C61" s="94">
        <f>+E49</f>
        <v>134000</v>
      </c>
      <c r="D61" s="95">
        <f>(+C60+C61)/2</f>
        <v>133000</v>
      </c>
      <c r="E61" s="94">
        <f>+F49</f>
        <v>137000</v>
      </c>
      <c r="F61" s="95">
        <f>(+E60+E61)/2</f>
        <v>136500</v>
      </c>
    </row>
    <row r="62" spans="1:6" hidden="1" x14ac:dyDescent="0.2">
      <c r="A62" s="984" t="s">
        <v>255</v>
      </c>
      <c r="B62" s="985"/>
      <c r="C62" s="94">
        <f>+E50</f>
        <v>137000</v>
      </c>
      <c r="D62" s="95">
        <f>(+C61+C62)/2</f>
        <v>135500</v>
      </c>
      <c r="E62" s="94">
        <f>+F50</f>
        <v>210000</v>
      </c>
      <c r="F62" s="95">
        <f>(+E61+E62)/2</f>
        <v>173500</v>
      </c>
    </row>
    <row r="63" spans="1:6" ht="13.5" hidden="1" thickBot="1" x14ac:dyDescent="0.25">
      <c r="A63" s="1046" t="s">
        <v>350</v>
      </c>
      <c r="B63" s="1046"/>
      <c r="C63" s="1046"/>
      <c r="D63" s="96">
        <f>SUM(D59:D62)</f>
        <v>530500</v>
      </c>
      <c r="E63" s="79"/>
      <c r="F63" s="96">
        <f>SUM(F59:F62)</f>
        <v>580000</v>
      </c>
    </row>
    <row r="64" spans="1:6" ht="13.5" hidden="1" thickBot="1" x14ac:dyDescent="0.25">
      <c r="A64" s="1040" t="s">
        <v>77</v>
      </c>
      <c r="B64" s="1041"/>
      <c r="C64" s="1041"/>
      <c r="D64" s="1041"/>
      <c r="E64" s="77" t="s">
        <v>528</v>
      </c>
      <c r="F64" s="78">
        <f>+F63-D63</f>
        <v>49500</v>
      </c>
    </row>
    <row r="65" spans="1:6" hidden="1" x14ac:dyDescent="0.2">
      <c r="A65" s="979" t="s">
        <v>378</v>
      </c>
      <c r="B65" s="980"/>
      <c r="C65" s="980"/>
      <c r="D65" s="980"/>
      <c r="E65" s="980"/>
      <c r="F65" s="981"/>
    </row>
    <row r="66" spans="1:6" hidden="1" x14ac:dyDescent="0.2">
      <c r="A66" s="62"/>
      <c r="B66" s="62"/>
      <c r="C66" s="62"/>
      <c r="D66" s="62"/>
      <c r="E66" s="62"/>
      <c r="F66" s="62"/>
    </row>
    <row r="67" spans="1:6" hidden="1" x14ac:dyDescent="0.2">
      <c r="A67" s="68"/>
      <c r="B67" s="68"/>
      <c r="C67" s="68"/>
      <c r="D67" s="68"/>
      <c r="E67" s="68"/>
      <c r="F67" s="68"/>
    </row>
    <row r="68" spans="1:6" hidden="1" x14ac:dyDescent="0.2">
      <c r="A68" s="960" t="s">
        <v>7</v>
      </c>
      <c r="B68" s="961"/>
      <c r="C68" s="961"/>
      <c r="D68" s="961"/>
      <c r="E68" s="961"/>
      <c r="F68" s="962"/>
    </row>
    <row r="69" spans="1:6" ht="33.75" hidden="1" customHeight="1" x14ac:dyDescent="0.2">
      <c r="A69" s="964" t="s">
        <v>83</v>
      </c>
      <c r="B69" s="965"/>
      <c r="C69" s="965"/>
      <c r="D69" s="965"/>
      <c r="E69" s="965"/>
      <c r="F69" s="966"/>
    </row>
    <row r="70" spans="1:6" hidden="1" x14ac:dyDescent="0.2">
      <c r="A70" s="968" t="s">
        <v>379</v>
      </c>
      <c r="B70" s="968"/>
      <c r="C70" s="968"/>
      <c r="D70" s="968"/>
      <c r="E70" s="9">
        <v>2003</v>
      </c>
      <c r="F70" s="9">
        <v>2004</v>
      </c>
    </row>
    <row r="71" spans="1:6" ht="13.5" hidden="1" thickBot="1" x14ac:dyDescent="0.25">
      <c r="A71" s="989" t="s">
        <v>255</v>
      </c>
      <c r="B71" s="989"/>
      <c r="C71" s="989"/>
      <c r="D71" s="989"/>
      <c r="E71" s="95">
        <f>+F15</f>
        <v>138500</v>
      </c>
      <c r="F71" s="95">
        <f>+G15</f>
        <v>210300</v>
      </c>
    </row>
    <row r="72" spans="1:6" ht="13.5" hidden="1" thickBot="1" x14ac:dyDescent="0.25">
      <c r="A72" s="989" t="s">
        <v>264</v>
      </c>
      <c r="B72" s="989"/>
      <c r="C72" s="989"/>
      <c r="D72" s="989"/>
      <c r="E72" s="76" t="s">
        <v>528</v>
      </c>
      <c r="F72" s="95">
        <f>IF(+F71-E71&gt;0,+F71-E71,0)</f>
        <v>71800</v>
      </c>
    </row>
    <row r="73" spans="1:6" ht="30" hidden="1" customHeight="1" x14ac:dyDescent="0.2">
      <c r="A73" s="990" t="s">
        <v>378</v>
      </c>
      <c r="B73" s="991"/>
      <c r="C73" s="991"/>
      <c r="D73" s="991"/>
      <c r="E73" s="991"/>
      <c r="F73" s="992"/>
    </row>
    <row r="74" spans="1:6" hidden="1" x14ac:dyDescent="0.2">
      <c r="A74" s="68"/>
      <c r="B74" s="68"/>
      <c r="C74" s="68"/>
      <c r="D74" s="68"/>
      <c r="E74" s="68"/>
      <c r="F74" s="68"/>
    </row>
    <row r="75" spans="1:6" x14ac:dyDescent="0.2">
      <c r="A75" s="68"/>
      <c r="B75" s="68"/>
      <c r="C75" s="68"/>
      <c r="D75" s="68"/>
      <c r="E75" s="68"/>
      <c r="F75" s="68"/>
    </row>
    <row r="76" spans="1:6" ht="20.25" customHeight="1" x14ac:dyDescent="0.2">
      <c r="A76" s="976" t="s">
        <v>380</v>
      </c>
      <c r="B76" s="977"/>
      <c r="C76" s="977"/>
      <c r="D76" s="977"/>
      <c r="E76" s="978"/>
      <c r="F76" s="68"/>
    </row>
    <row r="77" spans="1:6" ht="63.75" x14ac:dyDescent="0.2">
      <c r="A77" s="9" t="s">
        <v>263</v>
      </c>
      <c r="B77" s="11" t="s">
        <v>261</v>
      </c>
      <c r="C77" s="9" t="s">
        <v>260</v>
      </c>
      <c r="D77" s="11" t="s">
        <v>262</v>
      </c>
      <c r="E77" s="11" t="s">
        <v>381</v>
      </c>
      <c r="F77" s="68"/>
    </row>
    <row r="78" spans="1:6" x14ac:dyDescent="0.2">
      <c r="A78" s="4">
        <v>2001</v>
      </c>
      <c r="B78" s="33"/>
      <c r="C78" s="51">
        <f>+D5</f>
        <v>1050000</v>
      </c>
      <c r="D78" s="33"/>
      <c r="E78" s="33"/>
      <c r="F78" s="68"/>
    </row>
    <row r="79" spans="1:6" x14ac:dyDescent="0.2">
      <c r="A79" s="4">
        <v>2002</v>
      </c>
      <c r="B79" s="51">
        <f>E6</f>
        <v>6000000</v>
      </c>
      <c r="C79" s="51">
        <f>E5</f>
        <v>950000</v>
      </c>
      <c r="D79" s="51">
        <f>(C78+C79)/2</f>
        <v>1000000</v>
      </c>
      <c r="E79" s="97">
        <f>B79/D79</f>
        <v>6</v>
      </c>
      <c r="F79" s="68"/>
    </row>
    <row r="80" spans="1:6" x14ac:dyDescent="0.2">
      <c r="A80" s="4">
        <v>2003</v>
      </c>
      <c r="B80" s="51">
        <f>F6</f>
        <v>6600000</v>
      </c>
      <c r="C80" s="51">
        <f>F5</f>
        <v>850000</v>
      </c>
      <c r="D80" s="51">
        <f>(C79+C80)/2</f>
        <v>900000</v>
      </c>
      <c r="E80" s="97">
        <f>B80/D80</f>
        <v>7.333333333333333</v>
      </c>
      <c r="F80" s="68"/>
    </row>
    <row r="81" spans="1:7" x14ac:dyDescent="0.2">
      <c r="A81" s="4">
        <v>2004</v>
      </c>
      <c r="B81" s="51">
        <f>G6</f>
        <v>6713000</v>
      </c>
      <c r="C81" s="51">
        <f>G5</f>
        <v>1130000</v>
      </c>
      <c r="D81" s="51">
        <f>(C80+C81)/2</f>
        <v>990000</v>
      </c>
      <c r="E81" s="97">
        <f>B81/D81</f>
        <v>6.7808080808080806</v>
      </c>
      <c r="F81" s="68"/>
    </row>
    <row r="82" spans="1:7" x14ac:dyDescent="0.2">
      <c r="A82" s="98"/>
      <c r="B82" s="99"/>
      <c r="C82" s="99"/>
      <c r="D82" s="63" t="s">
        <v>251</v>
      </c>
      <c r="E82" s="12">
        <f>SUM(E78:E81)</f>
        <v>20.114141414141415</v>
      </c>
      <c r="F82" s="68"/>
    </row>
    <row r="83" spans="1:7" x14ac:dyDescent="0.2">
      <c r="A83" s="69"/>
      <c r="B83" s="100" t="s">
        <v>266</v>
      </c>
      <c r="C83" s="100"/>
      <c r="D83" s="70"/>
      <c r="E83" s="101">
        <v>3</v>
      </c>
      <c r="F83" s="68"/>
    </row>
    <row r="84" spans="1:7" ht="31.5" customHeight="1" x14ac:dyDescent="0.2">
      <c r="A84" s="979" t="s">
        <v>382</v>
      </c>
      <c r="B84" s="980"/>
      <c r="C84" s="980"/>
      <c r="D84" s="981"/>
      <c r="E84" s="13">
        <f>E82/E83</f>
        <v>6.7047138047138048</v>
      </c>
      <c r="F84" s="68"/>
    </row>
    <row r="85" spans="1:7" x14ac:dyDescent="0.2">
      <c r="A85" s="68"/>
      <c r="B85" s="68"/>
      <c r="C85" s="68"/>
      <c r="D85" s="68"/>
      <c r="E85" s="68"/>
      <c r="F85" s="68"/>
    </row>
    <row r="86" spans="1:7" x14ac:dyDescent="0.2">
      <c r="A86" s="68"/>
      <c r="B86" s="68"/>
      <c r="C86" s="68"/>
      <c r="D86" s="68"/>
      <c r="E86" s="68"/>
      <c r="F86" s="68"/>
    </row>
    <row r="87" spans="1:7" x14ac:dyDescent="0.2">
      <c r="A87" s="68"/>
      <c r="B87" s="68"/>
      <c r="C87" s="68"/>
      <c r="D87" s="68"/>
      <c r="E87" s="68"/>
      <c r="F87" s="68"/>
    </row>
    <row r="88" spans="1:7" ht="54" customHeight="1" x14ac:dyDescent="0.2">
      <c r="A88" s="993" t="s">
        <v>383</v>
      </c>
      <c r="B88" s="993"/>
      <c r="C88" s="993"/>
      <c r="D88" s="993"/>
      <c r="E88" s="65"/>
      <c r="F88" s="65"/>
    </row>
    <row r="89" spans="1:7" ht="42" customHeight="1" x14ac:dyDescent="0.2">
      <c r="A89" s="11" t="s">
        <v>384</v>
      </c>
      <c r="B89" s="9" t="s">
        <v>263</v>
      </c>
      <c r="C89" s="11" t="s">
        <v>385</v>
      </c>
      <c r="D89" s="11" t="s">
        <v>386</v>
      </c>
      <c r="E89" s="68"/>
      <c r="F89" s="68"/>
    </row>
    <row r="90" spans="1:7" x14ac:dyDescent="0.2">
      <c r="A90" s="102">
        <v>1</v>
      </c>
      <c r="B90" s="103">
        <v>2005</v>
      </c>
      <c r="C90" s="104">
        <v>0.2</v>
      </c>
      <c r="D90" s="95">
        <f t="shared" ref="D90:D101" si="2">$E$27*C90</f>
        <v>188800</v>
      </c>
      <c r="E90" s="68"/>
      <c r="F90" s="68"/>
      <c r="G90" s="105"/>
    </row>
    <row r="91" spans="1:7" x14ac:dyDescent="0.2">
      <c r="A91" s="103">
        <v>2</v>
      </c>
      <c r="B91" s="103">
        <v>2006</v>
      </c>
      <c r="C91" s="104">
        <v>0.15</v>
      </c>
      <c r="D91" s="95">
        <f t="shared" si="2"/>
        <v>141600</v>
      </c>
      <c r="E91" s="68"/>
      <c r="F91" s="68"/>
      <c r="G91" s="105"/>
    </row>
    <row r="92" spans="1:7" x14ac:dyDescent="0.2">
      <c r="A92" s="103">
        <v>3</v>
      </c>
      <c r="B92" s="103">
        <v>2007</v>
      </c>
      <c r="C92" s="104">
        <v>0.15</v>
      </c>
      <c r="D92" s="95">
        <f t="shared" si="2"/>
        <v>141600</v>
      </c>
      <c r="E92" s="68"/>
      <c r="F92" s="68"/>
      <c r="G92" s="105"/>
    </row>
    <row r="93" spans="1:7" x14ac:dyDescent="0.2">
      <c r="A93" s="103">
        <v>4</v>
      </c>
      <c r="B93" s="103">
        <v>2008</v>
      </c>
      <c r="C93" s="104">
        <v>0.15</v>
      </c>
      <c r="D93" s="95">
        <f t="shared" si="2"/>
        <v>141600</v>
      </c>
      <c r="E93" s="68"/>
      <c r="F93" s="68"/>
      <c r="G93" s="105"/>
    </row>
    <row r="94" spans="1:7" x14ac:dyDescent="0.2">
      <c r="A94" s="103">
        <v>5</v>
      </c>
      <c r="B94" s="103">
        <v>2009</v>
      </c>
      <c r="C94" s="104">
        <v>0.15</v>
      </c>
      <c r="D94" s="95">
        <f t="shared" si="2"/>
        <v>141600</v>
      </c>
      <c r="E94" s="68"/>
      <c r="F94" s="68"/>
      <c r="G94" s="105"/>
    </row>
    <row r="95" spans="1:7" x14ac:dyDescent="0.2">
      <c r="A95" s="103">
        <v>6</v>
      </c>
      <c r="B95" s="103">
        <v>2010</v>
      </c>
      <c r="C95" s="104">
        <v>0.1</v>
      </c>
      <c r="D95" s="95">
        <f t="shared" si="2"/>
        <v>94400</v>
      </c>
      <c r="E95" s="68"/>
      <c r="F95" s="68"/>
      <c r="G95" s="105"/>
    </row>
    <row r="96" spans="1:7" x14ac:dyDescent="0.2">
      <c r="A96" s="103">
        <v>7</v>
      </c>
      <c r="B96" s="103">
        <v>2011</v>
      </c>
      <c r="C96" s="104">
        <v>0.1</v>
      </c>
      <c r="D96" s="95">
        <f t="shared" si="2"/>
        <v>94400</v>
      </c>
      <c r="E96" s="68"/>
      <c r="F96" s="68"/>
      <c r="G96" s="105"/>
    </row>
    <row r="97" spans="1:7" x14ac:dyDescent="0.2">
      <c r="A97" s="103">
        <v>8</v>
      </c>
      <c r="B97" s="103">
        <v>2012</v>
      </c>
      <c r="C97" s="104">
        <v>0</v>
      </c>
      <c r="D97" s="95">
        <f t="shared" si="2"/>
        <v>0</v>
      </c>
      <c r="E97" s="68"/>
      <c r="F97" s="68"/>
      <c r="G97" s="105"/>
    </row>
    <row r="98" spans="1:7" x14ac:dyDescent="0.2">
      <c r="A98" s="103">
        <v>9</v>
      </c>
      <c r="B98" s="103">
        <v>2013</v>
      </c>
      <c r="C98" s="104">
        <v>0</v>
      </c>
      <c r="D98" s="95">
        <f t="shared" si="2"/>
        <v>0</v>
      </c>
      <c r="E98" s="68"/>
      <c r="F98" s="68"/>
      <c r="G98" s="106"/>
    </row>
    <row r="99" spans="1:7" x14ac:dyDescent="0.2">
      <c r="A99" s="103">
        <v>10</v>
      </c>
      <c r="B99" s="103">
        <v>2014</v>
      </c>
      <c r="C99" s="104">
        <v>0</v>
      </c>
      <c r="D99" s="95">
        <f t="shared" si="2"/>
        <v>0</v>
      </c>
      <c r="E99" s="68"/>
      <c r="F99" s="68"/>
      <c r="G99" s="43"/>
    </row>
    <row r="100" spans="1:7" x14ac:dyDescent="0.2">
      <c r="A100" s="103">
        <v>11</v>
      </c>
      <c r="B100" s="103">
        <v>2015</v>
      </c>
      <c r="C100" s="104">
        <v>0</v>
      </c>
      <c r="D100" s="95">
        <f t="shared" si="2"/>
        <v>0</v>
      </c>
      <c r="E100" s="68"/>
      <c r="F100" s="68"/>
    </row>
    <row r="101" spans="1:7" ht="13.5" thickBot="1" x14ac:dyDescent="0.25">
      <c r="A101" s="107">
        <v>12</v>
      </c>
      <c r="B101" s="107">
        <v>2016</v>
      </c>
      <c r="C101" s="104">
        <v>0</v>
      </c>
      <c r="D101" s="95">
        <f t="shared" si="2"/>
        <v>0</v>
      </c>
      <c r="E101" s="68"/>
      <c r="F101" s="68"/>
    </row>
    <row r="102" spans="1:7" x14ac:dyDescent="0.2">
      <c r="A102" s="25"/>
      <c r="B102" s="25"/>
      <c r="C102" s="18">
        <f>SUM(C90:C101)</f>
        <v>1</v>
      </c>
      <c r="D102" s="17">
        <f>SUM(D90:D101)</f>
        <v>944000</v>
      </c>
      <c r="E102" s="68"/>
      <c r="F102" s="68"/>
    </row>
    <row r="103" spans="1:7" x14ac:dyDescent="0.2">
      <c r="A103" s="68"/>
      <c r="B103" s="68"/>
      <c r="C103" s="68"/>
      <c r="D103" s="68"/>
      <c r="E103" s="68"/>
      <c r="F103" s="68"/>
    </row>
    <row r="104" spans="1:7" x14ac:dyDescent="0.2">
      <c r="A104" s="68"/>
      <c r="B104" s="68"/>
      <c r="C104" s="68"/>
      <c r="D104" s="68"/>
      <c r="E104" s="68"/>
      <c r="F104" s="68"/>
    </row>
    <row r="105" spans="1:7" ht="30" customHeight="1" x14ac:dyDescent="0.2">
      <c r="A105" s="993" t="s">
        <v>55</v>
      </c>
      <c r="B105" s="993"/>
      <c r="C105" s="993"/>
      <c r="D105" s="993"/>
      <c r="E105" s="993"/>
      <c r="F105" s="993"/>
      <c r="G105" s="108"/>
    </row>
    <row r="106" spans="1:7" ht="30" customHeight="1" x14ac:dyDescent="0.2">
      <c r="A106" s="109"/>
      <c r="B106" s="110"/>
      <c r="C106" s="110"/>
      <c r="D106" s="111"/>
      <c r="E106" s="85" t="s">
        <v>23</v>
      </c>
      <c r="F106" s="64" t="s">
        <v>24</v>
      </c>
      <c r="G106" s="108"/>
    </row>
    <row r="107" spans="1:7" x14ac:dyDescent="0.2">
      <c r="A107" s="989" t="s">
        <v>280</v>
      </c>
      <c r="B107" s="989"/>
      <c r="C107" s="989"/>
      <c r="D107" s="989"/>
      <c r="E107" s="92">
        <f>+E22</f>
        <v>1130000</v>
      </c>
      <c r="F107" s="92">
        <f>+E27</f>
        <v>944000</v>
      </c>
      <c r="G107" s="34"/>
    </row>
    <row r="108" spans="1:7" x14ac:dyDescent="0.2">
      <c r="A108" s="1004" t="s">
        <v>387</v>
      </c>
      <c r="B108" s="1005"/>
      <c r="C108" s="1005"/>
      <c r="D108" s="1006"/>
      <c r="E108" s="92">
        <f>+H5</f>
        <v>600000</v>
      </c>
      <c r="F108" s="42">
        <f>F107*E109</f>
        <v>501238.9380530974</v>
      </c>
      <c r="G108" s="34"/>
    </row>
    <row r="109" spans="1:7" x14ac:dyDescent="0.2">
      <c r="A109" s="973" t="s">
        <v>22</v>
      </c>
      <c r="B109" s="974"/>
      <c r="C109" s="974"/>
      <c r="D109" s="975"/>
      <c r="E109" s="112">
        <f>E108/E107</f>
        <v>0.53097345132743368</v>
      </c>
      <c r="F109" s="53"/>
      <c r="G109" s="34"/>
    </row>
    <row r="110" spans="1:7" x14ac:dyDescent="0.2">
      <c r="A110" s="973" t="s">
        <v>25</v>
      </c>
      <c r="B110" s="974"/>
      <c r="C110" s="974"/>
      <c r="D110" s="975"/>
      <c r="E110" s="113">
        <f>+E107-E108</f>
        <v>530000</v>
      </c>
      <c r="F110" s="114">
        <f>+F107-F108</f>
        <v>442761.0619469026</v>
      </c>
      <c r="G110" s="34"/>
    </row>
    <row r="111" spans="1:7" ht="32.25" customHeight="1" x14ac:dyDescent="0.2">
      <c r="A111" s="994" t="s">
        <v>388</v>
      </c>
      <c r="B111" s="994"/>
      <c r="C111" s="994"/>
      <c r="D111" s="994"/>
      <c r="E111" s="994"/>
      <c r="F111" s="994"/>
      <c r="G111" s="83"/>
    </row>
    <row r="112" spans="1:7" x14ac:dyDescent="0.2">
      <c r="A112" s="68"/>
      <c r="B112" s="68"/>
      <c r="C112" s="68"/>
      <c r="D112" s="68"/>
      <c r="E112" s="68"/>
      <c r="F112" s="115"/>
      <c r="G112" s="34"/>
    </row>
    <row r="113" spans="1:7" ht="13.5" thickBot="1" x14ac:dyDescent="0.25">
      <c r="A113" s="68"/>
      <c r="B113" s="68"/>
      <c r="C113" s="68"/>
      <c r="D113" s="68"/>
      <c r="E113" s="68"/>
      <c r="F113" s="68"/>
    </row>
    <row r="114" spans="1:7" ht="28.5" customHeight="1" thickBot="1" x14ac:dyDescent="0.25">
      <c r="A114" s="1015" t="s">
        <v>56</v>
      </c>
      <c r="B114" s="1016"/>
      <c r="C114" s="1016"/>
      <c r="D114" s="1016"/>
      <c r="E114" s="1017"/>
      <c r="F114" s="65"/>
      <c r="G114" s="40"/>
    </row>
    <row r="115" spans="1:7" ht="38.25" x14ac:dyDescent="0.2">
      <c r="A115" s="85" t="s">
        <v>263</v>
      </c>
      <c r="B115" s="85" t="s">
        <v>31</v>
      </c>
      <c r="C115" s="85" t="s">
        <v>21</v>
      </c>
      <c r="D115" s="85" t="s">
        <v>19</v>
      </c>
      <c r="E115" s="85" t="s">
        <v>20</v>
      </c>
      <c r="F115" s="68"/>
    </row>
    <row r="116" spans="1:7" x14ac:dyDescent="0.2">
      <c r="A116" s="90">
        <v>2005</v>
      </c>
      <c r="B116" s="90">
        <f t="shared" ref="B116:B127" si="3">A90</f>
        <v>1</v>
      </c>
      <c r="C116" s="116">
        <f t="shared" ref="C116:C127" si="4">+C90</f>
        <v>0.2</v>
      </c>
      <c r="D116" s="117">
        <f t="shared" ref="D116:D127" si="5">+$D$128*C116</f>
        <v>100247.78761061949</v>
      </c>
      <c r="E116" s="8">
        <f t="shared" ref="E116:E127" si="6">+D90</f>
        <v>188800</v>
      </c>
      <c r="F116" s="68"/>
    </row>
    <row r="117" spans="1:7" x14ac:dyDescent="0.2">
      <c r="A117" s="90">
        <v>2006</v>
      </c>
      <c r="B117" s="90">
        <f t="shared" si="3"/>
        <v>2</v>
      </c>
      <c r="C117" s="116">
        <f t="shared" si="4"/>
        <v>0.15</v>
      </c>
      <c r="D117" s="117">
        <f t="shared" si="5"/>
        <v>75185.840707964613</v>
      </c>
      <c r="E117" s="33">
        <f t="shared" si="6"/>
        <v>141600</v>
      </c>
      <c r="F117" s="68"/>
    </row>
    <row r="118" spans="1:7" x14ac:dyDescent="0.2">
      <c r="A118" s="90">
        <v>2007</v>
      </c>
      <c r="B118" s="90">
        <f t="shared" si="3"/>
        <v>3</v>
      </c>
      <c r="C118" s="116">
        <f t="shared" si="4"/>
        <v>0.15</v>
      </c>
      <c r="D118" s="117">
        <f t="shared" si="5"/>
        <v>75185.840707964613</v>
      </c>
      <c r="E118" s="33">
        <f t="shared" si="6"/>
        <v>141600</v>
      </c>
      <c r="F118" s="68"/>
    </row>
    <row r="119" spans="1:7" x14ac:dyDescent="0.2">
      <c r="A119" s="90">
        <v>2008</v>
      </c>
      <c r="B119" s="90">
        <f t="shared" si="3"/>
        <v>4</v>
      </c>
      <c r="C119" s="116">
        <f t="shared" si="4"/>
        <v>0.15</v>
      </c>
      <c r="D119" s="117">
        <f t="shared" si="5"/>
        <v>75185.840707964613</v>
      </c>
      <c r="E119" s="33">
        <f t="shared" si="6"/>
        <v>141600</v>
      </c>
      <c r="F119" s="68"/>
    </row>
    <row r="120" spans="1:7" x14ac:dyDescent="0.2">
      <c r="A120" s="90">
        <v>2009</v>
      </c>
      <c r="B120" s="90">
        <f t="shared" si="3"/>
        <v>5</v>
      </c>
      <c r="C120" s="116">
        <f t="shared" si="4"/>
        <v>0.15</v>
      </c>
      <c r="D120" s="117">
        <f t="shared" si="5"/>
        <v>75185.840707964613</v>
      </c>
      <c r="E120" s="33">
        <f t="shared" si="6"/>
        <v>141600</v>
      </c>
      <c r="F120" s="68"/>
    </row>
    <row r="121" spans="1:7" x14ac:dyDescent="0.2">
      <c r="A121" s="90">
        <v>2010</v>
      </c>
      <c r="B121" s="90">
        <f t="shared" si="3"/>
        <v>6</v>
      </c>
      <c r="C121" s="116">
        <f t="shared" si="4"/>
        <v>0.1</v>
      </c>
      <c r="D121" s="117">
        <f t="shared" si="5"/>
        <v>50123.893805309744</v>
      </c>
      <c r="E121" s="33">
        <f t="shared" si="6"/>
        <v>94400</v>
      </c>
      <c r="F121" s="68"/>
    </row>
    <row r="122" spans="1:7" x14ac:dyDescent="0.2">
      <c r="A122" s="90">
        <v>2011</v>
      </c>
      <c r="B122" s="90">
        <f t="shared" si="3"/>
        <v>7</v>
      </c>
      <c r="C122" s="116">
        <f t="shared" si="4"/>
        <v>0.1</v>
      </c>
      <c r="D122" s="117">
        <f t="shared" si="5"/>
        <v>50123.893805309744</v>
      </c>
      <c r="E122" s="33">
        <f t="shared" si="6"/>
        <v>94400</v>
      </c>
      <c r="F122" s="68"/>
    </row>
    <row r="123" spans="1:7" hidden="1" x14ac:dyDescent="0.2">
      <c r="A123" s="90">
        <v>2012</v>
      </c>
      <c r="B123" s="90">
        <f t="shared" si="3"/>
        <v>8</v>
      </c>
      <c r="C123" s="116">
        <f t="shared" si="4"/>
        <v>0</v>
      </c>
      <c r="D123" s="117">
        <f t="shared" si="5"/>
        <v>0</v>
      </c>
      <c r="E123" s="33">
        <f t="shared" si="6"/>
        <v>0</v>
      </c>
      <c r="F123" s="68"/>
    </row>
    <row r="124" spans="1:7" hidden="1" x14ac:dyDescent="0.2">
      <c r="A124" s="90">
        <v>2013</v>
      </c>
      <c r="B124" s="90">
        <f t="shared" si="3"/>
        <v>9</v>
      </c>
      <c r="C124" s="116">
        <f t="shared" si="4"/>
        <v>0</v>
      </c>
      <c r="D124" s="117">
        <f t="shared" si="5"/>
        <v>0</v>
      </c>
      <c r="E124" s="33">
        <f t="shared" si="6"/>
        <v>0</v>
      </c>
      <c r="F124" s="68"/>
    </row>
    <row r="125" spans="1:7" hidden="1" x14ac:dyDescent="0.2">
      <c r="A125" s="90">
        <v>2014</v>
      </c>
      <c r="B125" s="90">
        <f t="shared" si="3"/>
        <v>10</v>
      </c>
      <c r="C125" s="116">
        <f t="shared" si="4"/>
        <v>0</v>
      </c>
      <c r="D125" s="117">
        <f t="shared" si="5"/>
        <v>0</v>
      </c>
      <c r="E125" s="33">
        <f t="shared" si="6"/>
        <v>0</v>
      </c>
      <c r="F125" s="68"/>
    </row>
    <row r="126" spans="1:7" hidden="1" x14ac:dyDescent="0.2">
      <c r="A126" s="90">
        <v>2015</v>
      </c>
      <c r="B126" s="90">
        <f t="shared" si="3"/>
        <v>11</v>
      </c>
      <c r="C126" s="116">
        <f t="shared" si="4"/>
        <v>0</v>
      </c>
      <c r="D126" s="117">
        <f t="shared" si="5"/>
        <v>0</v>
      </c>
      <c r="E126" s="33">
        <f t="shared" si="6"/>
        <v>0</v>
      </c>
      <c r="F126" s="68"/>
    </row>
    <row r="127" spans="1:7" ht="13.5" hidden="1" thickBot="1" x14ac:dyDescent="0.25">
      <c r="A127" s="118">
        <v>2016</v>
      </c>
      <c r="B127" s="118">
        <f t="shared" si="3"/>
        <v>12</v>
      </c>
      <c r="C127" s="116">
        <f t="shared" si="4"/>
        <v>0</v>
      </c>
      <c r="D127" s="117">
        <f t="shared" si="5"/>
        <v>0</v>
      </c>
      <c r="E127" s="33">
        <f t="shared" si="6"/>
        <v>0</v>
      </c>
      <c r="F127" s="68"/>
    </row>
    <row r="128" spans="1:7" x14ac:dyDescent="0.2">
      <c r="A128" s="119"/>
      <c r="B128" s="24" t="s">
        <v>389</v>
      </c>
      <c r="C128" s="16">
        <f>SUM(C116:C127)</f>
        <v>1</v>
      </c>
      <c r="D128" s="17">
        <f>+F108</f>
        <v>501238.9380530974</v>
      </c>
      <c r="E128" s="14">
        <f>SUM(E116:E127)</f>
        <v>944000</v>
      </c>
      <c r="F128" s="115"/>
    </row>
    <row r="129" spans="1:7" ht="39.75" customHeight="1" x14ac:dyDescent="0.2">
      <c r="A129" s="990" t="s">
        <v>404</v>
      </c>
      <c r="B129" s="991"/>
      <c r="C129" s="991"/>
      <c r="D129" s="992"/>
      <c r="E129" s="14">
        <f>F107-F108</f>
        <v>442761.0619469026</v>
      </c>
      <c r="F129" s="62"/>
    </row>
    <row r="130" spans="1:7" ht="27" customHeight="1" thickBot="1" x14ac:dyDescent="0.25">
      <c r="A130" s="1021" t="s">
        <v>390</v>
      </c>
      <c r="B130" s="1022"/>
      <c r="C130" s="1022"/>
      <c r="D130" s="1023"/>
      <c r="E130" s="120">
        <f>D116</f>
        <v>100247.78761061949</v>
      </c>
      <c r="F130" s="86"/>
    </row>
    <row r="131" spans="1:7" ht="13.5" thickBot="1" x14ac:dyDescent="0.25">
      <c r="A131" s="1024" t="s">
        <v>391</v>
      </c>
      <c r="B131" s="1025"/>
      <c r="C131" s="1025"/>
      <c r="D131" s="1026"/>
      <c r="E131" s="74">
        <f>SUM(E129:E130)</f>
        <v>543008.8495575221</v>
      </c>
      <c r="F131" s="121"/>
    </row>
    <row r="132" spans="1:7" x14ac:dyDescent="0.2">
      <c r="A132" s="122"/>
      <c r="B132" s="122"/>
      <c r="C132" s="122"/>
      <c r="D132" s="122"/>
      <c r="E132" s="73"/>
      <c r="F132" s="121"/>
    </row>
    <row r="133" spans="1:7" x14ac:dyDescent="0.2">
      <c r="A133" s="72" t="s">
        <v>60</v>
      </c>
      <c r="B133" s="72"/>
      <c r="C133" s="72"/>
      <c r="D133" s="72"/>
      <c r="E133" s="37"/>
      <c r="F133" s="121"/>
    </row>
    <row r="134" spans="1:7" x14ac:dyDescent="0.2">
      <c r="A134" s="1027" t="s">
        <v>16</v>
      </c>
      <c r="B134" s="1027"/>
      <c r="C134" s="1027"/>
      <c r="D134" s="1027"/>
      <c r="E134" s="123">
        <f>+E116</f>
        <v>188800</v>
      </c>
      <c r="F134" s="115"/>
      <c r="G134" s="37"/>
    </row>
    <row r="135" spans="1:7" ht="39" customHeight="1" x14ac:dyDescent="0.2">
      <c r="A135" s="998" t="s">
        <v>61</v>
      </c>
      <c r="B135" s="999"/>
      <c r="C135" s="999"/>
      <c r="D135" s="1000"/>
      <c r="E135" s="67">
        <f>+E131-E134</f>
        <v>354208.8495575221</v>
      </c>
      <c r="F135" s="115"/>
      <c r="G135" s="37"/>
    </row>
    <row r="136" spans="1:7" ht="29.25" customHeight="1" x14ac:dyDescent="0.2">
      <c r="A136" s="998" t="s">
        <v>17</v>
      </c>
      <c r="B136" s="999"/>
      <c r="C136" s="999"/>
      <c r="D136" s="1000"/>
      <c r="E136" s="66">
        <f>SUM(D117:D124)</f>
        <v>400991.1504424779</v>
      </c>
      <c r="F136" s="68"/>
    </row>
    <row r="137" spans="1:7" ht="28.5" customHeight="1" x14ac:dyDescent="0.2">
      <c r="A137" s="998" t="s">
        <v>18</v>
      </c>
      <c r="B137" s="999"/>
      <c r="C137" s="999"/>
      <c r="D137" s="1000"/>
      <c r="E137" s="66">
        <f>+E131+E136</f>
        <v>944000</v>
      </c>
      <c r="F137" s="68"/>
    </row>
    <row r="138" spans="1:7" x14ac:dyDescent="0.2">
      <c r="A138" s="68"/>
      <c r="B138" s="68"/>
      <c r="C138" s="68"/>
      <c r="D138" s="68"/>
      <c r="E138" s="124">
        <f>+E128-E137</f>
        <v>0</v>
      </c>
      <c r="F138" s="68"/>
      <c r="G138" s="68"/>
    </row>
    <row r="139" spans="1:7" x14ac:dyDescent="0.2">
      <c r="A139" s="68"/>
      <c r="B139" s="68"/>
      <c r="C139" s="68"/>
      <c r="D139" s="68"/>
      <c r="E139" s="68"/>
      <c r="F139" s="68"/>
      <c r="G139" s="68"/>
    </row>
    <row r="140" spans="1:7" x14ac:dyDescent="0.2">
      <c r="A140" s="993" t="s">
        <v>57</v>
      </c>
      <c r="B140" s="993"/>
      <c r="C140" s="993"/>
      <c r="D140" s="993"/>
      <c r="E140" s="993"/>
      <c r="F140" s="993"/>
      <c r="G140" s="68"/>
    </row>
    <row r="141" spans="1:7" ht="25.5" x14ac:dyDescent="0.2">
      <c r="A141" s="109"/>
      <c r="B141" s="110"/>
      <c r="C141" s="110"/>
      <c r="D141" s="111"/>
      <c r="E141" s="85" t="s">
        <v>23</v>
      </c>
      <c r="F141" s="64" t="s">
        <v>24</v>
      </c>
      <c r="G141" s="68"/>
    </row>
    <row r="142" spans="1:7" x14ac:dyDescent="0.2">
      <c r="A142" s="995" t="s">
        <v>280</v>
      </c>
      <c r="B142" s="996"/>
      <c r="C142" s="996"/>
      <c r="D142" s="997"/>
      <c r="E142" s="92">
        <f>+E107</f>
        <v>1130000</v>
      </c>
      <c r="F142" s="92">
        <f>+F107</f>
        <v>944000</v>
      </c>
      <c r="G142" s="68"/>
    </row>
    <row r="143" spans="1:7" x14ac:dyDescent="0.2">
      <c r="A143" s="1004" t="s">
        <v>26</v>
      </c>
      <c r="B143" s="1005"/>
      <c r="C143" s="1005"/>
      <c r="D143" s="1006"/>
      <c r="E143" s="92">
        <f>+E108</f>
        <v>600000</v>
      </c>
      <c r="F143" s="92">
        <f>+F108</f>
        <v>501238.9380530974</v>
      </c>
      <c r="G143" s="68"/>
    </row>
    <row r="144" spans="1:7" x14ac:dyDescent="0.2">
      <c r="A144" s="973" t="s">
        <v>27</v>
      </c>
      <c r="B144" s="974"/>
      <c r="C144" s="974"/>
      <c r="D144" s="975"/>
      <c r="E144" s="92">
        <f>+I5</f>
        <v>1130000</v>
      </c>
      <c r="F144" s="26"/>
      <c r="G144" s="68"/>
    </row>
    <row r="145" spans="1:7" x14ac:dyDescent="0.2">
      <c r="A145" s="973" t="s">
        <v>22</v>
      </c>
      <c r="B145" s="974"/>
      <c r="C145" s="974"/>
      <c r="D145" s="975"/>
      <c r="E145" s="44">
        <v>0</v>
      </c>
      <c r="F145" s="26"/>
      <c r="G145" s="68"/>
    </row>
    <row r="146" spans="1:7" x14ac:dyDescent="0.2">
      <c r="A146" s="973" t="s">
        <v>28</v>
      </c>
      <c r="B146" s="974"/>
      <c r="C146" s="974"/>
      <c r="D146" s="975"/>
      <c r="E146" s="113">
        <f>IF(+E143-E144&gt;0,+E143-E144,0)</f>
        <v>0</v>
      </c>
      <c r="F146" s="114"/>
      <c r="G146" s="68"/>
    </row>
    <row r="147" spans="1:7" ht="41.25" customHeight="1" x14ac:dyDescent="0.2">
      <c r="A147" s="994" t="s">
        <v>40</v>
      </c>
      <c r="B147" s="994"/>
      <c r="C147" s="994"/>
      <c r="D147" s="994"/>
      <c r="E147" s="994"/>
      <c r="F147" s="994"/>
      <c r="G147" s="68"/>
    </row>
    <row r="148" spans="1:7" x14ac:dyDescent="0.2">
      <c r="A148" s="125"/>
      <c r="B148" s="125"/>
      <c r="C148" s="125"/>
      <c r="D148" s="125"/>
      <c r="E148" s="125"/>
      <c r="F148" s="68"/>
      <c r="G148" s="68"/>
    </row>
    <row r="149" spans="1:7" x14ac:dyDescent="0.2">
      <c r="A149" s="993" t="s">
        <v>58</v>
      </c>
      <c r="B149" s="993"/>
      <c r="C149" s="993"/>
      <c r="D149" s="993"/>
      <c r="E149" s="993"/>
      <c r="F149" s="993"/>
      <c r="G149" s="68"/>
    </row>
    <row r="150" spans="1:7" ht="25.5" x14ac:dyDescent="0.2">
      <c r="A150" s="109"/>
      <c r="B150" s="110"/>
      <c r="C150" s="110"/>
      <c r="D150" s="111"/>
      <c r="E150" s="85" t="s">
        <v>23</v>
      </c>
      <c r="F150" s="64" t="s">
        <v>24</v>
      </c>
      <c r="G150" s="68"/>
    </row>
    <row r="151" spans="1:7" x14ac:dyDescent="0.2">
      <c r="A151" s="995" t="s">
        <v>280</v>
      </c>
      <c r="B151" s="996"/>
      <c r="C151" s="996"/>
      <c r="D151" s="997"/>
      <c r="E151" s="92">
        <f>+E142</f>
        <v>1130000</v>
      </c>
      <c r="F151" s="92">
        <f>+F142</f>
        <v>944000</v>
      </c>
      <c r="G151" s="68"/>
    </row>
    <row r="152" spans="1:7" ht="27" customHeight="1" x14ac:dyDescent="0.2">
      <c r="A152" s="1032" t="s">
        <v>74</v>
      </c>
      <c r="B152" s="1033"/>
      <c r="C152" s="1033"/>
      <c r="D152" s="1034"/>
      <c r="E152" s="92">
        <f>+E143</f>
        <v>600000</v>
      </c>
      <c r="F152" s="92">
        <f>+F143</f>
        <v>501238.9380530974</v>
      </c>
      <c r="G152" s="68"/>
    </row>
    <row r="153" spans="1:7" x14ac:dyDescent="0.2">
      <c r="A153" s="1001" t="s">
        <v>30</v>
      </c>
      <c r="B153" s="1002"/>
      <c r="C153" s="1002"/>
      <c r="D153" s="1003"/>
      <c r="E153" s="42">
        <v>400000</v>
      </c>
      <c r="F153" s="48">
        <f>+F151*E154</f>
        <v>334159.29203539825</v>
      </c>
      <c r="G153" s="68"/>
    </row>
    <row r="154" spans="1:7" x14ac:dyDescent="0.2">
      <c r="A154" s="973" t="s">
        <v>22</v>
      </c>
      <c r="B154" s="974"/>
      <c r="C154" s="974"/>
      <c r="D154" s="975"/>
      <c r="E154" s="112">
        <f>+E153/E151</f>
        <v>0.35398230088495575</v>
      </c>
      <c r="F154" s="26"/>
      <c r="G154" s="68"/>
    </row>
    <row r="155" spans="1:7" x14ac:dyDescent="0.2">
      <c r="A155" s="973" t="s">
        <v>29</v>
      </c>
      <c r="B155" s="974"/>
      <c r="C155" s="974"/>
      <c r="D155" s="975"/>
      <c r="E155" s="113">
        <f>IF(+E152-E153&gt;0,+E152-E153,0)</f>
        <v>200000</v>
      </c>
      <c r="F155" s="49">
        <f>+F152-F153</f>
        <v>167079.64601769915</v>
      </c>
      <c r="G155" s="68"/>
    </row>
    <row r="156" spans="1:7" ht="39.75" customHeight="1" x14ac:dyDescent="0.2">
      <c r="A156" s="994" t="s">
        <v>41</v>
      </c>
      <c r="B156" s="994"/>
      <c r="C156" s="994"/>
      <c r="D156" s="994"/>
      <c r="E156" s="994"/>
      <c r="F156" s="994"/>
      <c r="G156" s="68"/>
    </row>
    <row r="157" spans="1:7" x14ac:dyDescent="0.2">
      <c r="A157" s="126"/>
      <c r="B157" s="126"/>
      <c r="C157" s="126"/>
      <c r="D157" s="126"/>
      <c r="E157" s="126"/>
      <c r="F157" s="68"/>
      <c r="G157" s="68"/>
    </row>
    <row r="158" spans="1:7" x14ac:dyDescent="0.2">
      <c r="A158" s="68"/>
      <c r="B158" s="68"/>
      <c r="C158" s="68"/>
      <c r="D158" s="68"/>
      <c r="E158" s="68"/>
      <c r="F158" s="68"/>
      <c r="G158" s="68"/>
    </row>
    <row r="159" spans="1:7" ht="30.75" customHeight="1" x14ac:dyDescent="0.2">
      <c r="A159" s="1035" t="s">
        <v>59</v>
      </c>
      <c r="B159" s="1035"/>
      <c r="C159" s="1035"/>
      <c r="D159" s="1035"/>
      <c r="E159" s="1035"/>
      <c r="F159" s="68"/>
      <c r="G159" s="68"/>
    </row>
    <row r="160" spans="1:7" ht="38.25" x14ac:dyDescent="0.2">
      <c r="A160" s="11" t="s">
        <v>263</v>
      </c>
      <c r="B160" s="11" t="s">
        <v>31</v>
      </c>
      <c r="C160" s="11" t="s">
        <v>21</v>
      </c>
      <c r="D160" s="11" t="s">
        <v>19</v>
      </c>
      <c r="E160" s="11" t="s">
        <v>32</v>
      </c>
      <c r="F160" s="68"/>
      <c r="G160" s="68"/>
    </row>
    <row r="161" spans="1:7" x14ac:dyDescent="0.2">
      <c r="A161" s="90">
        <v>2005</v>
      </c>
      <c r="B161" s="921">
        <v>1</v>
      </c>
      <c r="C161" s="116">
        <f>+C116</f>
        <v>0.2</v>
      </c>
      <c r="D161" s="114">
        <f>+$D$173*C161</f>
        <v>66831.85840707965</v>
      </c>
      <c r="E161" s="33">
        <f>+$E$173*C161</f>
        <v>100247.78761061949</v>
      </c>
      <c r="F161" s="68"/>
      <c r="G161" s="68"/>
    </row>
    <row r="162" spans="1:7" x14ac:dyDescent="0.2">
      <c r="A162" s="90">
        <v>2006</v>
      </c>
      <c r="B162" s="921">
        <f>+B161+1</f>
        <v>2</v>
      </c>
      <c r="C162" s="116">
        <f t="shared" ref="C162:C172" si="7">+C117</f>
        <v>0.15</v>
      </c>
      <c r="D162" s="114">
        <f t="shared" ref="D162:D172" si="8">+$D$173*C162</f>
        <v>50123.893805309737</v>
      </c>
      <c r="E162" s="33">
        <f t="shared" ref="E162:E172" si="9">+$E$173*C162</f>
        <v>75185.840707964613</v>
      </c>
      <c r="F162" s="68"/>
      <c r="G162" s="68"/>
    </row>
    <row r="163" spans="1:7" x14ac:dyDescent="0.2">
      <c r="A163" s="90">
        <v>2007</v>
      </c>
      <c r="B163" s="921">
        <f t="shared" ref="B163:B172" si="10">+B162+1</f>
        <v>3</v>
      </c>
      <c r="C163" s="116">
        <f t="shared" si="7"/>
        <v>0.15</v>
      </c>
      <c r="D163" s="114">
        <f t="shared" si="8"/>
        <v>50123.893805309737</v>
      </c>
      <c r="E163" s="8">
        <f t="shared" si="9"/>
        <v>75185.840707964613</v>
      </c>
      <c r="F163" s="68"/>
      <c r="G163" s="68"/>
    </row>
    <row r="164" spans="1:7" x14ac:dyDescent="0.2">
      <c r="A164" s="90">
        <v>2008</v>
      </c>
      <c r="B164" s="921">
        <f t="shared" si="10"/>
        <v>4</v>
      </c>
      <c r="C164" s="116">
        <f t="shared" si="7"/>
        <v>0.15</v>
      </c>
      <c r="D164" s="114">
        <f t="shared" si="8"/>
        <v>50123.893805309737</v>
      </c>
      <c r="E164" s="33">
        <f t="shared" si="9"/>
        <v>75185.840707964613</v>
      </c>
      <c r="F164" s="68"/>
      <c r="G164" s="68"/>
    </row>
    <row r="165" spans="1:7" x14ac:dyDescent="0.2">
      <c r="A165" s="90">
        <v>2009</v>
      </c>
      <c r="B165" s="921">
        <f t="shared" si="10"/>
        <v>5</v>
      </c>
      <c r="C165" s="116">
        <f t="shared" si="7"/>
        <v>0.15</v>
      </c>
      <c r="D165" s="114">
        <f t="shared" si="8"/>
        <v>50123.893805309737</v>
      </c>
      <c r="E165" s="33">
        <f t="shared" si="9"/>
        <v>75185.840707964613</v>
      </c>
      <c r="F165" s="68"/>
      <c r="G165" s="68"/>
    </row>
    <row r="166" spans="1:7" x14ac:dyDescent="0.2">
      <c r="A166" s="90">
        <v>2010</v>
      </c>
      <c r="B166" s="921">
        <f t="shared" si="10"/>
        <v>6</v>
      </c>
      <c r="C166" s="116">
        <f t="shared" si="7"/>
        <v>0.1</v>
      </c>
      <c r="D166" s="114">
        <f t="shared" si="8"/>
        <v>33415.929203539825</v>
      </c>
      <c r="E166" s="33">
        <f t="shared" si="9"/>
        <v>50123.893805309744</v>
      </c>
      <c r="F166" s="68"/>
      <c r="G166" s="68"/>
    </row>
    <row r="167" spans="1:7" x14ac:dyDescent="0.2">
      <c r="A167" s="90">
        <v>2011</v>
      </c>
      <c r="B167" s="921">
        <f t="shared" si="10"/>
        <v>7</v>
      </c>
      <c r="C167" s="116">
        <f t="shared" si="7"/>
        <v>0.1</v>
      </c>
      <c r="D167" s="114">
        <f t="shared" si="8"/>
        <v>33415.929203539825</v>
      </c>
      <c r="E167" s="33">
        <f t="shared" si="9"/>
        <v>50123.893805309744</v>
      </c>
      <c r="F167" s="68"/>
      <c r="G167" s="68"/>
    </row>
    <row r="168" spans="1:7" x14ac:dyDescent="0.2">
      <c r="A168" s="90">
        <v>2012</v>
      </c>
      <c r="B168" s="921">
        <f t="shared" si="10"/>
        <v>8</v>
      </c>
      <c r="C168" s="116">
        <f t="shared" si="7"/>
        <v>0</v>
      </c>
      <c r="D168" s="114">
        <f t="shared" si="8"/>
        <v>0</v>
      </c>
      <c r="E168" s="33">
        <f t="shared" si="9"/>
        <v>0</v>
      </c>
      <c r="F168" s="68"/>
      <c r="G168" s="68"/>
    </row>
    <row r="169" spans="1:7" x14ac:dyDescent="0.2">
      <c r="A169" s="90">
        <v>2013</v>
      </c>
      <c r="B169" s="921">
        <f t="shared" si="10"/>
        <v>9</v>
      </c>
      <c r="C169" s="116">
        <f t="shared" si="7"/>
        <v>0</v>
      </c>
      <c r="D169" s="114">
        <f t="shared" si="8"/>
        <v>0</v>
      </c>
      <c r="E169" s="33">
        <f t="shared" si="9"/>
        <v>0</v>
      </c>
      <c r="F169" s="68"/>
      <c r="G169" s="68"/>
    </row>
    <row r="170" spans="1:7" x14ac:dyDescent="0.2">
      <c r="A170" s="90">
        <v>2014</v>
      </c>
      <c r="B170" s="921">
        <f t="shared" si="10"/>
        <v>10</v>
      </c>
      <c r="C170" s="116">
        <f t="shared" si="7"/>
        <v>0</v>
      </c>
      <c r="D170" s="114">
        <f t="shared" si="8"/>
        <v>0</v>
      </c>
      <c r="E170" s="33">
        <f t="shared" si="9"/>
        <v>0</v>
      </c>
      <c r="F170" s="68"/>
      <c r="G170" s="68"/>
    </row>
    <row r="171" spans="1:7" x14ac:dyDescent="0.2">
      <c r="A171" s="90">
        <v>2015</v>
      </c>
      <c r="B171" s="921">
        <f t="shared" si="10"/>
        <v>11</v>
      </c>
      <c r="C171" s="116">
        <f t="shared" si="7"/>
        <v>0</v>
      </c>
      <c r="D171" s="114">
        <f t="shared" si="8"/>
        <v>0</v>
      </c>
      <c r="E171" s="33">
        <f t="shared" si="9"/>
        <v>0</v>
      </c>
      <c r="F171" s="68"/>
      <c r="G171" s="68"/>
    </row>
    <row r="172" spans="1:7" ht="13.5" thickBot="1" x14ac:dyDescent="0.25">
      <c r="A172" s="118">
        <v>2016</v>
      </c>
      <c r="B172" s="921">
        <f t="shared" si="10"/>
        <v>12</v>
      </c>
      <c r="C172" s="116">
        <f t="shared" si="7"/>
        <v>0</v>
      </c>
      <c r="D172" s="114">
        <f t="shared" si="8"/>
        <v>0</v>
      </c>
      <c r="E172" s="33">
        <f t="shared" si="9"/>
        <v>0</v>
      </c>
      <c r="F172" s="68"/>
      <c r="G172" s="68"/>
    </row>
    <row r="173" spans="1:7" x14ac:dyDescent="0.2">
      <c r="A173" s="119"/>
      <c r="B173" s="24" t="s">
        <v>389</v>
      </c>
      <c r="C173" s="16">
        <f>SUM(C161:C172)</f>
        <v>1</v>
      </c>
      <c r="D173" s="17">
        <f>+F153</f>
        <v>334159.29203539825</v>
      </c>
      <c r="E173" s="17">
        <f>+F152</f>
        <v>501238.9380530974</v>
      </c>
      <c r="F173" s="68"/>
      <c r="G173" s="68"/>
    </row>
    <row r="174" spans="1:7" ht="31.5" customHeight="1" x14ac:dyDescent="0.2">
      <c r="A174" s="990" t="s">
        <v>33</v>
      </c>
      <c r="B174" s="991"/>
      <c r="C174" s="991"/>
      <c r="D174" s="992"/>
      <c r="E174" s="14">
        <f>+E173-D173</f>
        <v>167079.64601769915</v>
      </c>
      <c r="F174" s="68"/>
      <c r="G174" s="68"/>
    </row>
    <row r="175" spans="1:7" ht="27.75" customHeight="1" x14ac:dyDescent="0.2">
      <c r="A175" s="986" t="s">
        <v>34</v>
      </c>
      <c r="B175" s="987"/>
      <c r="C175" s="987"/>
      <c r="D175" s="988"/>
      <c r="E175" s="114">
        <f>+D161+D162</f>
        <v>116955.75221238939</v>
      </c>
      <c r="F175" s="68"/>
      <c r="G175" s="68"/>
    </row>
    <row r="176" spans="1:7" ht="27.75" customHeight="1" x14ac:dyDescent="0.2">
      <c r="A176" s="986" t="s">
        <v>35</v>
      </c>
      <c r="B176" s="987"/>
      <c r="C176" s="987"/>
      <c r="D176" s="988"/>
      <c r="E176" s="114">
        <f>+D163</f>
        <v>50123.893805309737</v>
      </c>
      <c r="F176" s="68"/>
      <c r="G176" s="68"/>
    </row>
    <row r="177" spans="1:7" x14ac:dyDescent="0.2">
      <c r="A177" s="1013" t="s">
        <v>36</v>
      </c>
      <c r="B177" s="1014"/>
      <c r="C177" s="1014"/>
      <c r="D177" s="1031"/>
      <c r="E177" s="14">
        <f>SUM(E174:E176)</f>
        <v>334159.29203539825</v>
      </c>
      <c r="F177" s="68"/>
      <c r="G177" s="68"/>
    </row>
    <row r="178" spans="1:7" x14ac:dyDescent="0.2">
      <c r="A178" s="1013" t="s">
        <v>37</v>
      </c>
      <c r="B178" s="1014"/>
      <c r="C178" s="1014"/>
      <c r="D178" s="1031"/>
      <c r="E178" s="123">
        <f>+E163</f>
        <v>75185.840707964613</v>
      </c>
      <c r="F178" s="68"/>
      <c r="G178" s="68"/>
    </row>
    <row r="179" spans="1:7" x14ac:dyDescent="0.2">
      <c r="A179" s="1010" t="s">
        <v>521</v>
      </c>
      <c r="B179" s="1011"/>
      <c r="C179" s="1011"/>
      <c r="D179" s="1012"/>
      <c r="E179" s="66">
        <f>+E177-E178</f>
        <v>258973.45132743364</v>
      </c>
      <c r="F179" s="68"/>
      <c r="G179" s="68"/>
    </row>
    <row r="180" spans="1:7" ht="26.25" customHeight="1" x14ac:dyDescent="0.2">
      <c r="A180" s="998" t="s">
        <v>38</v>
      </c>
      <c r="B180" s="999"/>
      <c r="C180" s="999"/>
      <c r="D180" s="1000"/>
      <c r="E180" s="66">
        <f>SUM(D164:D169)</f>
        <v>167079.64601769912</v>
      </c>
      <c r="F180" s="68"/>
      <c r="G180" s="68"/>
    </row>
    <row r="181" spans="1:7" ht="25.5" customHeight="1" x14ac:dyDescent="0.2">
      <c r="A181" s="998" t="s">
        <v>39</v>
      </c>
      <c r="B181" s="999"/>
      <c r="C181" s="999"/>
      <c r="D181" s="1000"/>
      <c r="E181" s="67">
        <f>+E177+E180</f>
        <v>501238.93805309734</v>
      </c>
      <c r="F181" s="68"/>
      <c r="G181" s="68"/>
    </row>
    <row r="182" spans="1:7" x14ac:dyDescent="0.2">
      <c r="A182" s="68"/>
      <c r="B182" s="68"/>
      <c r="C182" s="68"/>
      <c r="D182" s="68"/>
      <c r="E182" s="124">
        <f>+E173-E181</f>
        <v>0</v>
      </c>
      <c r="F182" s="68"/>
      <c r="G182" s="68"/>
    </row>
    <row r="183" spans="1:7" x14ac:dyDescent="0.2">
      <c r="A183" s="68"/>
      <c r="B183" s="68"/>
      <c r="C183" s="68"/>
      <c r="D183" s="68"/>
      <c r="E183" s="68"/>
      <c r="F183" s="68"/>
      <c r="G183" s="68"/>
    </row>
    <row r="203" ht="32.25" customHeight="1" x14ac:dyDescent="0.2"/>
    <row r="219" ht="27.75" customHeight="1" x14ac:dyDescent="0.2"/>
    <row r="220" ht="26.25" customHeight="1" x14ac:dyDescent="0.2"/>
    <row r="224" ht="32.25" customHeight="1" x14ac:dyDescent="0.2"/>
  </sheetData>
  <mergeCells count="100">
    <mergeCell ref="B25:D25"/>
    <mergeCell ref="A36:D36"/>
    <mergeCell ref="A64:D64"/>
    <mergeCell ref="A65:F65"/>
    <mergeCell ref="A31:F31"/>
    <mergeCell ref="A60:B60"/>
    <mergeCell ref="A61:B61"/>
    <mergeCell ref="A49:D49"/>
    <mergeCell ref="A41:F41"/>
    <mergeCell ref="A44:F44"/>
    <mergeCell ref="A45:F45"/>
    <mergeCell ref="A46:D46"/>
    <mergeCell ref="A47:D47"/>
    <mergeCell ref="A62:B62"/>
    <mergeCell ref="A63:C63"/>
    <mergeCell ref="A55:F55"/>
    <mergeCell ref="A16:C16"/>
    <mergeCell ref="A17:C17"/>
    <mergeCell ref="A18:C18"/>
    <mergeCell ref="B22:D22"/>
    <mergeCell ref="B24:D24"/>
    <mergeCell ref="A21:E21"/>
    <mergeCell ref="A23:E23"/>
    <mergeCell ref="A181:D181"/>
    <mergeCell ref="A69:F69"/>
    <mergeCell ref="A175:D175"/>
    <mergeCell ref="A177:D177"/>
    <mergeCell ref="A178:D178"/>
    <mergeCell ref="A70:D70"/>
    <mergeCell ref="A156:F156"/>
    <mergeCell ref="A155:D155"/>
    <mergeCell ref="A145:D145"/>
    <mergeCell ref="A149:F149"/>
    <mergeCell ref="A151:D151"/>
    <mergeCell ref="A152:D152"/>
    <mergeCell ref="A146:D146"/>
    <mergeCell ref="A137:D137"/>
    <mergeCell ref="A159:E159"/>
    <mergeCell ref="A174:D174"/>
    <mergeCell ref="B26:D26"/>
    <mergeCell ref="A30:F30"/>
    <mergeCell ref="A143:D143"/>
    <mergeCell ref="A179:D179"/>
    <mergeCell ref="A180:D180"/>
    <mergeCell ref="A135:D135"/>
    <mergeCell ref="A27:C27"/>
    <mergeCell ref="A88:D88"/>
    <mergeCell ref="A114:E114"/>
    <mergeCell ref="A84:D84"/>
    <mergeCell ref="A39:D39"/>
    <mergeCell ref="A35:D35"/>
    <mergeCell ref="A130:D130"/>
    <mergeCell ref="A131:D131"/>
    <mergeCell ref="A134:D134"/>
    <mergeCell ref="A51:D51"/>
    <mergeCell ref="A15:C15"/>
    <mergeCell ref="A4:C4"/>
    <mergeCell ref="A5:C5"/>
    <mergeCell ref="A6:C6"/>
    <mergeCell ref="A7:C7"/>
    <mergeCell ref="A8:C8"/>
    <mergeCell ref="A11:C11"/>
    <mergeCell ref="A12:C12"/>
    <mergeCell ref="A9:H9"/>
    <mergeCell ref="A13:C13"/>
    <mergeCell ref="A14:C14"/>
    <mergeCell ref="A10:C10"/>
    <mergeCell ref="A176:D176"/>
    <mergeCell ref="A72:D72"/>
    <mergeCell ref="A73:F73"/>
    <mergeCell ref="A71:D71"/>
    <mergeCell ref="A140:F140"/>
    <mergeCell ref="A154:D154"/>
    <mergeCell ref="A147:F147"/>
    <mergeCell ref="A142:D142"/>
    <mergeCell ref="A111:F111"/>
    <mergeCell ref="A105:F105"/>
    <mergeCell ref="A144:D144"/>
    <mergeCell ref="A136:D136"/>
    <mergeCell ref="A153:D153"/>
    <mergeCell ref="A129:D129"/>
    <mergeCell ref="A107:D107"/>
    <mergeCell ref="A108:D108"/>
    <mergeCell ref="A110:D110"/>
    <mergeCell ref="A109:D109"/>
    <mergeCell ref="A76:E76"/>
    <mergeCell ref="A53:F53"/>
    <mergeCell ref="A52:D52"/>
    <mergeCell ref="A58:B58"/>
    <mergeCell ref="A59:B59"/>
    <mergeCell ref="A32:D32"/>
    <mergeCell ref="A33:D33"/>
    <mergeCell ref="A34:D34"/>
    <mergeCell ref="A37:D37"/>
    <mergeCell ref="A38:D38"/>
    <mergeCell ref="A50:D50"/>
    <mergeCell ref="A68:F68"/>
    <mergeCell ref="A42:F42"/>
    <mergeCell ref="A56:F56"/>
    <mergeCell ref="A48:D48"/>
  </mergeCells>
  <phoneticPr fontId="0" type="noConversion"/>
  <printOptions horizontalCentered="1"/>
  <pageMargins left="0.59055118110236227" right="0.75" top="0.59055118110236227" bottom="0.59055118110236227" header="0" footer="0"/>
  <pageSetup scale="79" fitToHeight="5" orientation="portrait" r:id="rId1"/>
  <headerFooter alignWithMargins="0">
    <oddHeader>&amp;R&amp;F
&amp;D</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110" workbookViewId="0">
      <selection activeCell="G22" sqref="G22"/>
    </sheetView>
  </sheetViews>
  <sheetFormatPr baseColWidth="10" defaultRowHeight="12.75" x14ac:dyDescent="0.2"/>
  <cols>
    <col min="1" max="1" width="17.140625" style="5" customWidth="1"/>
    <col min="2" max="13" width="6.5703125" style="5" bestFit="1" customWidth="1"/>
    <col min="14" max="16384" width="11.42578125" style="5"/>
  </cols>
  <sheetData>
    <row r="1" spans="1:13" x14ac:dyDescent="0.2">
      <c r="A1" s="1047" t="s">
        <v>516</v>
      </c>
      <c r="B1" s="1048"/>
      <c r="C1" s="1048"/>
      <c r="D1" s="1048"/>
      <c r="E1" s="1048"/>
      <c r="F1" s="1048"/>
      <c r="G1" s="1048"/>
      <c r="H1" s="1048"/>
      <c r="I1" s="1048"/>
      <c r="J1" s="1048"/>
      <c r="K1" s="1048"/>
      <c r="L1" s="1048"/>
      <c r="M1" s="1049"/>
    </row>
    <row r="2" spans="1:13" x14ac:dyDescent="0.2">
      <c r="A2" s="1050" t="s">
        <v>547</v>
      </c>
      <c r="B2" s="1051"/>
      <c r="C2" s="1051"/>
      <c r="D2" s="1051"/>
      <c r="E2" s="1051"/>
      <c r="F2" s="1051"/>
      <c r="G2" s="1051"/>
      <c r="H2" s="1051"/>
      <c r="I2" s="1051"/>
      <c r="J2" s="1051"/>
      <c r="K2" s="1051"/>
      <c r="L2" s="1051"/>
      <c r="M2" s="1052"/>
    </row>
    <row r="3" spans="1:13" ht="43.9" customHeight="1" x14ac:dyDescent="0.2">
      <c r="A3" s="135" t="s">
        <v>507</v>
      </c>
      <c r="B3" s="1053" t="s">
        <v>142</v>
      </c>
      <c r="C3" s="1053"/>
      <c r="D3" s="1053"/>
      <c r="E3" s="1053"/>
      <c r="F3" s="1053"/>
      <c r="G3" s="1053"/>
      <c r="H3" s="1053"/>
      <c r="I3" s="1053"/>
      <c r="J3" s="1053"/>
      <c r="K3" s="1053"/>
      <c r="L3" s="1053"/>
      <c r="M3" s="1054"/>
    </row>
    <row r="4" spans="1:13" x14ac:dyDescent="0.2">
      <c r="A4" s="27"/>
      <c r="B4" s="136">
        <v>2005</v>
      </c>
      <c r="C4" s="136">
        <v>2006</v>
      </c>
      <c r="D4" s="136">
        <v>2007</v>
      </c>
      <c r="E4" s="136">
        <v>2008</v>
      </c>
      <c r="F4" s="136">
        <v>2009</v>
      </c>
      <c r="G4" s="136">
        <v>2010</v>
      </c>
      <c r="H4" s="136">
        <v>2011</v>
      </c>
      <c r="I4" s="136">
        <v>2012</v>
      </c>
      <c r="J4" s="136">
        <v>2013</v>
      </c>
      <c r="K4" s="136">
        <v>2014</v>
      </c>
      <c r="L4" s="137">
        <v>2015</v>
      </c>
      <c r="M4" s="137">
        <v>2016</v>
      </c>
    </row>
    <row r="5" spans="1:13" x14ac:dyDescent="0.2">
      <c r="A5" s="138" t="s">
        <v>508</v>
      </c>
      <c r="B5" s="28">
        <v>25</v>
      </c>
      <c r="C5" s="28">
        <v>25</v>
      </c>
      <c r="D5" s="28">
        <v>25</v>
      </c>
      <c r="E5" s="28">
        <v>25</v>
      </c>
      <c r="F5" s="139"/>
      <c r="G5" s="139"/>
      <c r="H5" s="139"/>
      <c r="I5" s="139"/>
      <c r="J5" s="139"/>
      <c r="K5" s="139"/>
      <c r="L5" s="140"/>
      <c r="M5" s="140"/>
    </row>
    <row r="6" spans="1:13" x14ac:dyDescent="0.2">
      <c r="A6" s="138" t="s">
        <v>509</v>
      </c>
      <c r="B6" s="28">
        <v>20</v>
      </c>
      <c r="C6" s="28">
        <v>20</v>
      </c>
      <c r="D6" s="28">
        <v>20</v>
      </c>
      <c r="E6" s="28">
        <v>20</v>
      </c>
      <c r="F6" s="28">
        <v>20</v>
      </c>
      <c r="G6" s="139"/>
      <c r="H6" s="139"/>
      <c r="I6" s="139"/>
      <c r="J6" s="139"/>
      <c r="K6" s="139"/>
      <c r="L6" s="140"/>
      <c r="M6" s="140"/>
    </row>
    <row r="7" spans="1:13" x14ac:dyDescent="0.2">
      <c r="A7" s="138" t="s">
        <v>520</v>
      </c>
      <c r="B7" s="28">
        <v>20</v>
      </c>
      <c r="C7" s="28">
        <v>20</v>
      </c>
      <c r="D7" s="28">
        <v>20</v>
      </c>
      <c r="E7" s="28">
        <v>20</v>
      </c>
      <c r="F7" s="28">
        <v>10</v>
      </c>
      <c r="G7" s="28">
        <v>10</v>
      </c>
      <c r="H7" s="139"/>
      <c r="I7" s="139"/>
      <c r="J7" s="139"/>
      <c r="K7" s="139"/>
      <c r="L7" s="140"/>
      <c r="M7" s="140"/>
    </row>
    <row r="8" spans="1:13" x14ac:dyDescent="0.2">
      <c r="A8" s="138" t="s">
        <v>510</v>
      </c>
      <c r="B8" s="28">
        <v>20</v>
      </c>
      <c r="C8" s="28">
        <v>15</v>
      </c>
      <c r="D8" s="28">
        <v>15</v>
      </c>
      <c r="E8" s="28">
        <v>15</v>
      </c>
      <c r="F8" s="28">
        <v>15</v>
      </c>
      <c r="G8" s="28">
        <v>10</v>
      </c>
      <c r="H8" s="28">
        <v>10</v>
      </c>
      <c r="I8" s="139"/>
      <c r="J8" s="139"/>
      <c r="K8" s="139"/>
      <c r="L8" s="140"/>
      <c r="M8" s="140"/>
    </row>
    <row r="9" spans="1:13" x14ac:dyDescent="0.2">
      <c r="A9" s="138" t="s">
        <v>511</v>
      </c>
      <c r="B9" s="28">
        <v>16.670000000000002</v>
      </c>
      <c r="C9" s="28">
        <v>12.5</v>
      </c>
      <c r="D9" s="28">
        <v>12.5</v>
      </c>
      <c r="E9" s="28">
        <v>12.5</v>
      </c>
      <c r="F9" s="28">
        <v>12.5</v>
      </c>
      <c r="G9" s="28">
        <v>12.5</v>
      </c>
      <c r="H9" s="28">
        <v>12.5</v>
      </c>
      <c r="I9" s="28">
        <v>8.33</v>
      </c>
      <c r="J9" s="139"/>
      <c r="K9" s="139"/>
      <c r="L9" s="140"/>
      <c r="M9" s="140"/>
    </row>
    <row r="10" spans="1:13" x14ac:dyDescent="0.2">
      <c r="A10" s="138" t="s">
        <v>512</v>
      </c>
      <c r="B10" s="28">
        <v>15</v>
      </c>
      <c r="C10" s="28">
        <v>14</v>
      </c>
      <c r="D10" s="28">
        <v>13</v>
      </c>
      <c r="E10" s="28">
        <v>12</v>
      </c>
      <c r="F10" s="28">
        <v>11.11</v>
      </c>
      <c r="G10" s="28">
        <v>10</v>
      </c>
      <c r="H10" s="28">
        <v>9</v>
      </c>
      <c r="I10" s="28">
        <v>8</v>
      </c>
      <c r="J10" s="28">
        <v>7.89</v>
      </c>
      <c r="K10" s="139"/>
      <c r="L10" s="140"/>
      <c r="M10" s="140"/>
    </row>
    <row r="11" spans="1:13" x14ac:dyDescent="0.2">
      <c r="A11" s="138" t="s">
        <v>513</v>
      </c>
      <c r="B11" s="28">
        <v>14</v>
      </c>
      <c r="C11" s="28">
        <v>13</v>
      </c>
      <c r="D11" s="28">
        <v>12</v>
      </c>
      <c r="E11" s="28">
        <v>11</v>
      </c>
      <c r="F11" s="28">
        <v>10</v>
      </c>
      <c r="G11" s="28">
        <v>10</v>
      </c>
      <c r="H11" s="28">
        <v>9</v>
      </c>
      <c r="I11" s="28">
        <v>8</v>
      </c>
      <c r="J11" s="28">
        <v>7</v>
      </c>
      <c r="K11" s="28">
        <v>6</v>
      </c>
      <c r="L11" s="140"/>
      <c r="M11" s="140"/>
    </row>
    <row r="12" spans="1:13" x14ac:dyDescent="0.2">
      <c r="A12" s="138" t="s">
        <v>514</v>
      </c>
      <c r="B12" s="28">
        <v>13</v>
      </c>
      <c r="C12" s="28">
        <v>12.5</v>
      </c>
      <c r="D12" s="28">
        <v>12</v>
      </c>
      <c r="E12" s="28">
        <v>11</v>
      </c>
      <c r="F12" s="28">
        <v>10</v>
      </c>
      <c r="G12" s="28">
        <v>9.09</v>
      </c>
      <c r="H12" s="28">
        <v>8</v>
      </c>
      <c r="I12" s="28">
        <v>7</v>
      </c>
      <c r="J12" s="28">
        <v>6.5</v>
      </c>
      <c r="K12" s="28">
        <v>6</v>
      </c>
      <c r="L12" s="29">
        <v>4.91</v>
      </c>
      <c r="M12" s="140"/>
    </row>
    <row r="13" spans="1:13" x14ac:dyDescent="0.2">
      <c r="A13" s="138" t="s">
        <v>515</v>
      </c>
      <c r="B13" s="28">
        <v>12</v>
      </c>
      <c r="C13" s="28">
        <v>11.5</v>
      </c>
      <c r="D13" s="28">
        <v>11</v>
      </c>
      <c r="E13" s="28">
        <v>10</v>
      </c>
      <c r="F13" s="28">
        <v>9</v>
      </c>
      <c r="G13" s="28">
        <v>8.33</v>
      </c>
      <c r="H13" s="28">
        <v>8.33</v>
      </c>
      <c r="I13" s="28">
        <v>8</v>
      </c>
      <c r="J13" s="28">
        <v>7</v>
      </c>
      <c r="K13" s="28">
        <v>6</v>
      </c>
      <c r="L13" s="29">
        <v>5</v>
      </c>
      <c r="M13" s="29">
        <v>3.84</v>
      </c>
    </row>
  </sheetData>
  <mergeCells count="3">
    <mergeCell ref="A1:M1"/>
    <mergeCell ref="A2:M2"/>
    <mergeCell ref="B3:M3"/>
  </mergeCells>
  <phoneticPr fontId="0" type="noConversion"/>
  <pageMargins left="0.75" right="0.75" top="1" bottom="1"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84"/>
  <sheetViews>
    <sheetView zoomScale="150" zoomScaleNormal="150" workbookViewId="0">
      <selection activeCell="B15" sqref="B15"/>
    </sheetView>
  </sheetViews>
  <sheetFormatPr baseColWidth="10" defaultRowHeight="12.75" x14ac:dyDescent="0.2"/>
  <cols>
    <col min="1" max="1" width="8.7109375" customWidth="1"/>
    <col min="2" max="2" width="13.140625" style="1100" customWidth="1"/>
    <col min="3" max="3" width="31.28515625" style="1097" customWidth="1"/>
    <col min="4" max="4" width="8.7109375" style="1098" customWidth="1"/>
    <col min="5" max="5" width="12.28515625" style="1107" customWidth="1"/>
    <col min="6" max="6" width="12.28515625" style="1099" customWidth="1"/>
    <col min="9" max="9" width="12.42578125" style="1100" customWidth="1"/>
    <col min="10" max="10" width="9.42578125" customWidth="1"/>
  </cols>
  <sheetData>
    <row r="1" spans="1:16" x14ac:dyDescent="0.2">
      <c r="B1" s="1096" t="s">
        <v>1028</v>
      </c>
      <c r="E1" s="1099"/>
    </row>
    <row r="2" spans="1:16" x14ac:dyDescent="0.2">
      <c r="B2" s="1096" t="s">
        <v>2997</v>
      </c>
      <c r="E2" s="1099"/>
    </row>
    <row r="3" spans="1:16" s="1103" customFormat="1" ht="48.75" thickBot="1" x14ac:dyDescent="0.25">
      <c r="A3" s="1101" t="s">
        <v>2998</v>
      </c>
      <c r="B3" s="1101" t="s">
        <v>1029</v>
      </c>
      <c r="C3" s="1102" t="s">
        <v>1030</v>
      </c>
      <c r="D3" s="1101" t="s">
        <v>1031</v>
      </c>
      <c r="E3" s="1101" t="s">
        <v>1032</v>
      </c>
      <c r="F3" s="1101" t="s">
        <v>1033</v>
      </c>
      <c r="G3" s="1101" t="s">
        <v>1034</v>
      </c>
      <c r="H3" s="1101" t="s">
        <v>1035</v>
      </c>
      <c r="I3" s="1101" t="s">
        <v>1036</v>
      </c>
      <c r="K3" s="1101" t="s">
        <v>1037</v>
      </c>
      <c r="L3" s="1101" t="s">
        <v>1038</v>
      </c>
      <c r="M3" s="1101" t="s">
        <v>1039</v>
      </c>
      <c r="N3" s="1101" t="s">
        <v>1040</v>
      </c>
      <c r="O3" s="1101" t="s">
        <v>1041</v>
      </c>
      <c r="P3" s="1101" t="s">
        <v>1042</v>
      </c>
    </row>
    <row r="4" spans="1:16" ht="13.5" thickBot="1" x14ac:dyDescent="0.25">
      <c r="A4" s="1104" t="s">
        <v>1043</v>
      </c>
      <c r="B4" s="1104" t="s">
        <v>1044</v>
      </c>
      <c r="C4" s="1105" t="s">
        <v>1045</v>
      </c>
      <c r="D4" s="1106" t="s">
        <v>1046</v>
      </c>
      <c r="E4" s="1107" t="s">
        <v>1047</v>
      </c>
      <c r="H4">
        <v>1</v>
      </c>
      <c r="I4" t="s">
        <v>1046</v>
      </c>
    </row>
    <row r="5" spans="1:16" ht="13.5" thickBot="1" x14ac:dyDescent="0.25">
      <c r="A5" s="1108">
        <v>101.01</v>
      </c>
      <c r="B5" s="1109" t="s">
        <v>1048</v>
      </c>
      <c r="C5" s="1110" t="s">
        <v>1049</v>
      </c>
      <c r="D5" s="1106" t="s">
        <v>1046</v>
      </c>
      <c r="E5" s="1107" t="s">
        <v>1047</v>
      </c>
      <c r="H5">
        <v>1</v>
      </c>
      <c r="I5" t="s">
        <v>1046</v>
      </c>
    </row>
    <row r="6" spans="1:16" ht="13.5" thickBot="1" x14ac:dyDescent="0.25">
      <c r="A6" s="1111"/>
      <c r="B6" s="1112" t="s">
        <v>1050</v>
      </c>
      <c r="C6" s="1113" t="s">
        <v>1051</v>
      </c>
      <c r="D6" s="1106" t="s">
        <v>1046</v>
      </c>
      <c r="E6" s="1114" t="s">
        <v>1047</v>
      </c>
      <c r="F6" s="1115"/>
      <c r="H6">
        <v>1</v>
      </c>
      <c r="I6" t="s">
        <v>1046</v>
      </c>
    </row>
    <row r="7" spans="1:16" ht="13.5" thickBot="1" x14ac:dyDescent="0.25">
      <c r="A7" s="1104" t="s">
        <v>1052</v>
      </c>
      <c r="B7" s="1104" t="s">
        <v>1053</v>
      </c>
      <c r="C7" s="1116" t="s">
        <v>1054</v>
      </c>
      <c r="D7" s="1106" t="s">
        <v>1046</v>
      </c>
      <c r="E7" s="1107" t="s">
        <v>1047</v>
      </c>
      <c r="H7">
        <v>1</v>
      </c>
      <c r="I7" t="s">
        <v>1046</v>
      </c>
    </row>
    <row r="8" spans="1:16" ht="13.5" thickBot="1" x14ac:dyDescent="0.25">
      <c r="A8" s="1108">
        <v>102.01</v>
      </c>
      <c r="B8" s="1109" t="s">
        <v>1055</v>
      </c>
      <c r="C8" s="1110" t="s">
        <v>1056</v>
      </c>
      <c r="D8" s="1106" t="s">
        <v>1046</v>
      </c>
      <c r="E8" s="1107" t="s">
        <v>1047</v>
      </c>
      <c r="H8">
        <v>1</v>
      </c>
      <c r="I8" t="s">
        <v>1046</v>
      </c>
    </row>
    <row r="9" spans="1:16" ht="13.5" thickBot="1" x14ac:dyDescent="0.25">
      <c r="A9" s="1111"/>
      <c r="B9" s="1112" t="s">
        <v>1057</v>
      </c>
      <c r="C9" s="1113" t="s">
        <v>1051</v>
      </c>
      <c r="D9" s="1106" t="s">
        <v>1046</v>
      </c>
      <c r="E9" s="1114" t="s">
        <v>1047</v>
      </c>
      <c r="F9" s="1115"/>
      <c r="H9">
        <v>1</v>
      </c>
      <c r="I9" t="s">
        <v>1046</v>
      </c>
    </row>
    <row r="10" spans="1:16" ht="13.5" thickBot="1" x14ac:dyDescent="0.25">
      <c r="A10" s="1108">
        <v>102.02</v>
      </c>
      <c r="B10" s="1109" t="s">
        <v>1058</v>
      </c>
      <c r="C10" s="1110" t="s">
        <v>1059</v>
      </c>
      <c r="D10" s="1106" t="s">
        <v>1046</v>
      </c>
      <c r="E10" s="1107" t="s">
        <v>1047</v>
      </c>
      <c r="H10">
        <v>1</v>
      </c>
      <c r="I10" t="s">
        <v>1046</v>
      </c>
    </row>
    <row r="11" spans="1:16" ht="13.5" thickBot="1" x14ac:dyDescent="0.25">
      <c r="A11" s="1111"/>
      <c r="B11" s="1112" t="s">
        <v>1060</v>
      </c>
      <c r="C11" s="1117" t="s">
        <v>1051</v>
      </c>
      <c r="D11" s="1106" t="s">
        <v>1046</v>
      </c>
      <c r="E11" s="1114" t="s">
        <v>1047</v>
      </c>
      <c r="F11" s="1115"/>
      <c r="H11">
        <v>1</v>
      </c>
      <c r="I11" t="s">
        <v>1046</v>
      </c>
    </row>
    <row r="12" spans="1:16" ht="13.5" thickBot="1" x14ac:dyDescent="0.25">
      <c r="A12" s="1104" t="s">
        <v>1061</v>
      </c>
      <c r="B12" s="1104" t="s">
        <v>1062</v>
      </c>
      <c r="C12" s="1116" t="s">
        <v>1063</v>
      </c>
      <c r="D12" s="1106" t="s">
        <v>1046</v>
      </c>
      <c r="E12" s="1107" t="s">
        <v>1047</v>
      </c>
      <c r="H12">
        <v>1</v>
      </c>
      <c r="I12" t="s">
        <v>1046</v>
      </c>
    </row>
    <row r="13" spans="1:16" ht="13.5" thickBot="1" x14ac:dyDescent="0.25">
      <c r="A13" s="1108">
        <v>103.01</v>
      </c>
      <c r="B13" s="1109" t="s">
        <v>1064</v>
      </c>
      <c r="C13" s="1110" t="s">
        <v>1065</v>
      </c>
      <c r="D13" s="1106" t="s">
        <v>1046</v>
      </c>
      <c r="E13" s="1107" t="s">
        <v>1047</v>
      </c>
      <c r="H13">
        <v>1</v>
      </c>
      <c r="I13" t="s">
        <v>1046</v>
      </c>
    </row>
    <row r="14" spans="1:16" ht="13.5" thickBot="1" x14ac:dyDescent="0.25">
      <c r="A14" s="1111"/>
      <c r="B14" s="1109" t="s">
        <v>1066</v>
      </c>
      <c r="C14" s="1110" t="s">
        <v>1051</v>
      </c>
      <c r="D14" s="1106" t="s">
        <v>1046</v>
      </c>
      <c r="E14" s="1107" t="s">
        <v>1047</v>
      </c>
      <c r="H14">
        <v>1</v>
      </c>
      <c r="I14" t="s">
        <v>1046</v>
      </c>
    </row>
    <row r="15" spans="1:16" ht="13.5" thickBot="1" x14ac:dyDescent="0.25">
      <c r="A15" s="1104">
        <v>105</v>
      </c>
      <c r="B15" s="1104" t="s">
        <v>1067</v>
      </c>
      <c r="C15" s="1116" t="s">
        <v>928</v>
      </c>
      <c r="D15" s="1118" t="s">
        <v>1046</v>
      </c>
      <c r="E15" s="1107" t="s">
        <v>1047</v>
      </c>
      <c r="H15">
        <v>1</v>
      </c>
      <c r="I15" t="s">
        <v>1046</v>
      </c>
    </row>
    <row r="16" spans="1:16" ht="13.5" thickBot="1" x14ac:dyDescent="0.25">
      <c r="A16" s="1108">
        <v>105.01</v>
      </c>
      <c r="B16" s="1109" t="s">
        <v>1068</v>
      </c>
      <c r="C16" s="1110" t="s">
        <v>1069</v>
      </c>
      <c r="D16" s="1106" t="s">
        <v>1046</v>
      </c>
      <c r="E16" s="1107" t="s">
        <v>1047</v>
      </c>
      <c r="H16">
        <v>1</v>
      </c>
      <c r="I16" t="s">
        <v>1046</v>
      </c>
    </row>
    <row r="17" spans="1:9" ht="13.5" thickBot="1" x14ac:dyDescent="0.25">
      <c r="A17" s="1111"/>
      <c r="B17" s="1109" t="s">
        <v>1070</v>
      </c>
      <c r="C17" s="1110" t="s">
        <v>1051</v>
      </c>
      <c r="D17" s="1106" t="s">
        <v>1046</v>
      </c>
      <c r="E17" s="1107" t="s">
        <v>1047</v>
      </c>
      <c r="H17">
        <v>1</v>
      </c>
      <c r="I17" t="s">
        <v>1046</v>
      </c>
    </row>
    <row r="18" spans="1:9" ht="13.5" thickBot="1" x14ac:dyDescent="0.25">
      <c r="A18" s="1108">
        <v>105.02</v>
      </c>
      <c r="B18" s="1109" t="s">
        <v>1071</v>
      </c>
      <c r="C18" s="1110" t="s">
        <v>1072</v>
      </c>
      <c r="D18" s="1106" t="s">
        <v>1046</v>
      </c>
      <c r="E18" s="1107" t="s">
        <v>1047</v>
      </c>
      <c r="H18">
        <v>1</v>
      </c>
      <c r="I18" t="s">
        <v>1046</v>
      </c>
    </row>
    <row r="19" spans="1:9" ht="13.5" thickBot="1" x14ac:dyDescent="0.25">
      <c r="A19" s="1111"/>
      <c r="B19" s="1109" t="s">
        <v>1073</v>
      </c>
      <c r="C19" s="1110" t="s">
        <v>1051</v>
      </c>
      <c r="D19" s="1106" t="s">
        <v>1046</v>
      </c>
      <c r="E19" s="1107" t="s">
        <v>1047</v>
      </c>
      <c r="H19">
        <v>1</v>
      </c>
      <c r="I19" t="s">
        <v>1046</v>
      </c>
    </row>
    <row r="20" spans="1:9" ht="13.5" thickBot="1" x14ac:dyDescent="0.25">
      <c r="A20" s="1108">
        <v>105.03</v>
      </c>
      <c r="B20" s="1109" t="s">
        <v>1074</v>
      </c>
      <c r="C20" s="1110" t="s">
        <v>1075</v>
      </c>
      <c r="D20" s="1106" t="s">
        <v>1046</v>
      </c>
      <c r="E20" s="1107" t="s">
        <v>1047</v>
      </c>
      <c r="H20">
        <v>1</v>
      </c>
      <c r="I20" t="s">
        <v>1046</v>
      </c>
    </row>
    <row r="21" spans="1:9" ht="13.5" thickBot="1" x14ac:dyDescent="0.25">
      <c r="A21" s="1111"/>
      <c r="B21" s="1109" t="s">
        <v>1076</v>
      </c>
      <c r="C21" s="1110" t="s">
        <v>1051</v>
      </c>
      <c r="D21" s="1106" t="s">
        <v>1046</v>
      </c>
      <c r="E21" s="1107" t="s">
        <v>1047</v>
      </c>
      <c r="H21">
        <v>1</v>
      </c>
      <c r="I21" t="s">
        <v>1046</v>
      </c>
    </row>
    <row r="22" spans="1:9" ht="13.5" thickBot="1" x14ac:dyDescent="0.25">
      <c r="A22" s="1108">
        <v>105.04</v>
      </c>
      <c r="B22" s="1109" t="s">
        <v>1077</v>
      </c>
      <c r="C22" s="1110" t="s">
        <v>1078</v>
      </c>
      <c r="D22" s="1106" t="s">
        <v>1046</v>
      </c>
      <c r="E22" s="1107" t="s">
        <v>1047</v>
      </c>
      <c r="H22">
        <v>1</v>
      </c>
      <c r="I22" t="s">
        <v>1046</v>
      </c>
    </row>
    <row r="23" spans="1:9" x14ac:dyDescent="0.2">
      <c r="A23" s="1119"/>
      <c r="B23" s="1120" t="s">
        <v>1079</v>
      </c>
      <c r="C23" s="1121" t="s">
        <v>1051</v>
      </c>
      <c r="D23" s="1122" t="s">
        <v>1046</v>
      </c>
      <c r="E23" s="1123" t="s">
        <v>1047</v>
      </c>
      <c r="H23">
        <v>1</v>
      </c>
      <c r="I23" t="s">
        <v>1046</v>
      </c>
    </row>
    <row r="24" spans="1:9" x14ac:dyDescent="0.2">
      <c r="A24" s="1104">
        <v>106</v>
      </c>
      <c r="B24" s="1104" t="s">
        <v>1080</v>
      </c>
      <c r="C24" s="1124" t="s">
        <v>1081</v>
      </c>
      <c r="D24" s="1106" t="s">
        <v>1046</v>
      </c>
      <c r="E24" s="1107" t="s">
        <v>1047</v>
      </c>
      <c r="F24" s="1125"/>
      <c r="G24" s="1126"/>
      <c r="H24" s="1126">
        <v>1</v>
      </c>
      <c r="I24" s="1126" t="s">
        <v>1046</v>
      </c>
    </row>
    <row r="25" spans="1:9" ht="13.5" thickBot="1" x14ac:dyDescent="0.25">
      <c r="A25" s="1127">
        <v>106.01</v>
      </c>
      <c r="B25" s="1128" t="s">
        <v>1082</v>
      </c>
      <c r="C25" s="1110" t="s">
        <v>1083</v>
      </c>
      <c r="D25" s="1129" t="s">
        <v>1046</v>
      </c>
      <c r="E25" s="1130" t="s">
        <v>1047</v>
      </c>
      <c r="H25">
        <v>1</v>
      </c>
      <c r="I25" t="s">
        <v>1046</v>
      </c>
    </row>
    <row r="26" spans="1:9" ht="13.5" thickBot="1" x14ac:dyDescent="0.25">
      <c r="A26" s="1111"/>
      <c r="B26" s="1109" t="s">
        <v>1084</v>
      </c>
      <c r="C26" s="1110" t="s">
        <v>1051</v>
      </c>
      <c r="D26" s="1106" t="s">
        <v>1046</v>
      </c>
      <c r="E26" s="1107" t="s">
        <v>1047</v>
      </c>
      <c r="H26">
        <v>1</v>
      </c>
      <c r="I26" t="s">
        <v>1046</v>
      </c>
    </row>
    <row r="27" spans="1:9" ht="13.5" thickBot="1" x14ac:dyDescent="0.25">
      <c r="A27" s="1108">
        <v>106.02</v>
      </c>
      <c r="B27" s="1109" t="s">
        <v>1085</v>
      </c>
      <c r="C27" s="1110" t="s">
        <v>1086</v>
      </c>
      <c r="D27" s="1106" t="s">
        <v>1046</v>
      </c>
      <c r="E27" s="1107" t="s">
        <v>1047</v>
      </c>
      <c r="H27">
        <v>1</v>
      </c>
      <c r="I27" t="s">
        <v>1046</v>
      </c>
    </row>
    <row r="28" spans="1:9" ht="13.5" thickBot="1" x14ac:dyDescent="0.25">
      <c r="A28" s="1111"/>
      <c r="B28" s="1109" t="s">
        <v>1087</v>
      </c>
      <c r="C28" s="1110" t="s">
        <v>1051</v>
      </c>
      <c r="D28" s="1106" t="s">
        <v>1046</v>
      </c>
      <c r="E28" s="1107" t="s">
        <v>1047</v>
      </c>
      <c r="H28">
        <v>1</v>
      </c>
      <c r="I28" t="s">
        <v>1046</v>
      </c>
    </row>
    <row r="29" spans="1:9" ht="13.5" thickBot="1" x14ac:dyDescent="0.25">
      <c r="A29" s="1108">
        <v>106.03</v>
      </c>
      <c r="B29" s="1109" t="s">
        <v>1088</v>
      </c>
      <c r="C29" s="1110" t="s">
        <v>1089</v>
      </c>
      <c r="D29" s="1106" t="s">
        <v>1046</v>
      </c>
      <c r="E29" s="1107" t="s">
        <v>1047</v>
      </c>
      <c r="H29">
        <v>1</v>
      </c>
      <c r="I29" t="s">
        <v>1046</v>
      </c>
    </row>
    <row r="30" spans="1:9" ht="13.5" thickBot="1" x14ac:dyDescent="0.25">
      <c r="A30" s="1111"/>
      <c r="B30" s="1109" t="s">
        <v>1090</v>
      </c>
      <c r="C30" s="1110" t="s">
        <v>1051</v>
      </c>
      <c r="D30" s="1106" t="s">
        <v>1046</v>
      </c>
      <c r="E30" s="1107" t="s">
        <v>1047</v>
      </c>
      <c r="H30">
        <v>1</v>
      </c>
      <c r="I30" t="s">
        <v>1046</v>
      </c>
    </row>
    <row r="31" spans="1:9" ht="13.5" thickBot="1" x14ac:dyDescent="0.25">
      <c r="A31" s="1108">
        <v>106.04</v>
      </c>
      <c r="B31" s="1109" t="s">
        <v>1091</v>
      </c>
      <c r="C31" s="1110" t="s">
        <v>1092</v>
      </c>
      <c r="D31" s="1106" t="s">
        <v>1046</v>
      </c>
      <c r="E31" s="1107" t="s">
        <v>1047</v>
      </c>
      <c r="H31">
        <v>1</v>
      </c>
      <c r="I31" t="s">
        <v>1046</v>
      </c>
    </row>
    <row r="32" spans="1:9" ht="13.5" thickBot="1" x14ac:dyDescent="0.25">
      <c r="A32" s="1111"/>
      <c r="B32" s="1109" t="s">
        <v>1093</v>
      </c>
      <c r="C32" s="1110" t="s">
        <v>1051</v>
      </c>
      <c r="D32" s="1106" t="s">
        <v>1046</v>
      </c>
      <c r="E32" s="1107" t="s">
        <v>1047</v>
      </c>
      <c r="H32">
        <v>1</v>
      </c>
      <c r="I32" t="s">
        <v>1046</v>
      </c>
    </row>
    <row r="33" spans="1:9" ht="13.5" thickBot="1" x14ac:dyDescent="0.25">
      <c r="A33" s="1108">
        <v>106.05</v>
      </c>
      <c r="B33" s="1109" t="s">
        <v>1094</v>
      </c>
      <c r="C33" s="1110" t="s">
        <v>1095</v>
      </c>
      <c r="D33" s="1106" t="s">
        <v>1046</v>
      </c>
      <c r="E33" s="1107" t="s">
        <v>1047</v>
      </c>
      <c r="H33">
        <v>1</v>
      </c>
      <c r="I33" t="s">
        <v>1046</v>
      </c>
    </row>
    <row r="34" spans="1:9" ht="13.5" thickBot="1" x14ac:dyDescent="0.25">
      <c r="A34" s="1111"/>
      <c r="B34" s="1109" t="s">
        <v>1096</v>
      </c>
      <c r="C34" s="1110" t="s">
        <v>1051</v>
      </c>
      <c r="D34" s="1106" t="s">
        <v>1046</v>
      </c>
      <c r="E34" s="1107" t="s">
        <v>1047</v>
      </c>
      <c r="H34">
        <v>1</v>
      </c>
      <c r="I34" t="s">
        <v>1046</v>
      </c>
    </row>
    <row r="35" spans="1:9" ht="13.5" thickBot="1" x14ac:dyDescent="0.25">
      <c r="A35" s="1108">
        <v>106.06</v>
      </c>
      <c r="B35" s="1109" t="s">
        <v>1097</v>
      </c>
      <c r="C35" s="1110" t="s">
        <v>1098</v>
      </c>
      <c r="D35" s="1106" t="s">
        <v>1046</v>
      </c>
      <c r="E35" s="1107" t="s">
        <v>1047</v>
      </c>
      <c r="H35">
        <v>1</v>
      </c>
      <c r="I35" t="s">
        <v>1046</v>
      </c>
    </row>
    <row r="36" spans="1:9" ht="13.5" thickBot="1" x14ac:dyDescent="0.25">
      <c r="A36" s="1111"/>
      <c r="B36" s="1109" t="s">
        <v>1099</v>
      </c>
      <c r="C36" s="1110" t="s">
        <v>1051</v>
      </c>
      <c r="D36" s="1106" t="s">
        <v>1046</v>
      </c>
      <c r="E36" s="1107" t="s">
        <v>1047</v>
      </c>
      <c r="H36">
        <v>1</v>
      </c>
      <c r="I36" t="s">
        <v>1046</v>
      </c>
    </row>
    <row r="37" spans="1:9" ht="13.5" thickBot="1" x14ac:dyDescent="0.25">
      <c r="A37" s="1108">
        <v>106.07</v>
      </c>
      <c r="B37" s="1109" t="s">
        <v>1100</v>
      </c>
      <c r="C37" s="1110" t="s">
        <v>1101</v>
      </c>
      <c r="D37" s="1106" t="s">
        <v>1046</v>
      </c>
      <c r="E37" s="1107" t="s">
        <v>1047</v>
      </c>
      <c r="H37">
        <v>1</v>
      </c>
      <c r="I37" t="s">
        <v>1046</v>
      </c>
    </row>
    <row r="38" spans="1:9" ht="13.5" thickBot="1" x14ac:dyDescent="0.25">
      <c r="A38" s="1111"/>
      <c r="B38" s="1109" t="s">
        <v>1102</v>
      </c>
      <c r="C38" s="1110" t="s">
        <v>1051</v>
      </c>
      <c r="D38" s="1106" t="s">
        <v>1046</v>
      </c>
      <c r="E38" s="1107" t="s">
        <v>1047</v>
      </c>
      <c r="H38">
        <v>1</v>
      </c>
      <c r="I38" t="s">
        <v>1046</v>
      </c>
    </row>
    <row r="39" spans="1:9" ht="13.5" thickBot="1" x14ac:dyDescent="0.25">
      <c r="A39" s="1108">
        <v>106.08</v>
      </c>
      <c r="B39" s="1109" t="s">
        <v>1103</v>
      </c>
      <c r="C39" s="1110" t="s">
        <v>1104</v>
      </c>
      <c r="D39" s="1106" t="s">
        <v>1046</v>
      </c>
      <c r="E39" s="1107" t="s">
        <v>1047</v>
      </c>
      <c r="H39">
        <v>1</v>
      </c>
      <c r="I39" t="s">
        <v>1046</v>
      </c>
    </row>
    <row r="40" spans="1:9" ht="13.5" thickBot="1" x14ac:dyDescent="0.25">
      <c r="A40" s="1111"/>
      <c r="B40" s="1109" t="s">
        <v>1105</v>
      </c>
      <c r="C40" s="1110" t="s">
        <v>1051</v>
      </c>
      <c r="D40" s="1106" t="s">
        <v>1046</v>
      </c>
      <c r="E40" s="1107" t="s">
        <v>1047</v>
      </c>
      <c r="H40">
        <v>1</v>
      </c>
      <c r="I40" t="s">
        <v>1046</v>
      </c>
    </row>
    <row r="41" spans="1:9" ht="13.5" thickBot="1" x14ac:dyDescent="0.25">
      <c r="A41" s="1108">
        <v>106.09</v>
      </c>
      <c r="B41" s="1109" t="s">
        <v>1106</v>
      </c>
      <c r="C41" s="1110" t="s">
        <v>1107</v>
      </c>
      <c r="D41" s="1106" t="s">
        <v>1046</v>
      </c>
      <c r="E41" s="1107" t="s">
        <v>1047</v>
      </c>
      <c r="H41">
        <v>1</v>
      </c>
      <c r="I41" t="s">
        <v>1046</v>
      </c>
    </row>
    <row r="42" spans="1:9" ht="13.5" thickBot="1" x14ac:dyDescent="0.25">
      <c r="A42" s="1111"/>
      <c r="B42" s="1109" t="s">
        <v>1108</v>
      </c>
      <c r="C42" s="1110" t="s">
        <v>1051</v>
      </c>
      <c r="D42" s="1106" t="s">
        <v>1046</v>
      </c>
      <c r="E42" s="1107" t="s">
        <v>1047</v>
      </c>
      <c r="H42">
        <v>1</v>
      </c>
      <c r="I42" t="s">
        <v>1046</v>
      </c>
    </row>
    <row r="43" spans="1:9" ht="13.5" thickBot="1" x14ac:dyDescent="0.25">
      <c r="A43" s="1108">
        <v>106.1</v>
      </c>
      <c r="B43" s="1131" t="s">
        <v>1109</v>
      </c>
      <c r="C43" s="1132" t="s">
        <v>1110</v>
      </c>
      <c r="D43" s="1106" t="s">
        <v>1046</v>
      </c>
      <c r="E43" s="1107" t="s">
        <v>1047</v>
      </c>
      <c r="H43">
        <v>1</v>
      </c>
      <c r="I43" t="s">
        <v>1046</v>
      </c>
    </row>
    <row r="44" spans="1:9" ht="13.5" thickBot="1" x14ac:dyDescent="0.25">
      <c r="A44" s="1108"/>
      <c r="B44" s="1131" t="s">
        <v>1111</v>
      </c>
      <c r="C44" s="1132" t="s">
        <v>1051</v>
      </c>
      <c r="D44" s="1106"/>
      <c r="E44" s="1107" t="s">
        <v>1047</v>
      </c>
      <c r="H44">
        <v>1</v>
      </c>
      <c r="I44" t="s">
        <v>1046</v>
      </c>
    </row>
    <row r="45" spans="1:9" ht="13.5" thickBot="1" x14ac:dyDescent="0.25">
      <c r="A45" s="1104">
        <v>107</v>
      </c>
      <c r="B45" s="1104" t="s">
        <v>1112</v>
      </c>
      <c r="C45" s="1116" t="s">
        <v>1113</v>
      </c>
      <c r="D45" s="1106" t="s">
        <v>1046</v>
      </c>
      <c r="E45" s="1107" t="s">
        <v>1047</v>
      </c>
      <c r="H45">
        <v>1</v>
      </c>
      <c r="I45" t="s">
        <v>1046</v>
      </c>
    </row>
    <row r="46" spans="1:9" ht="13.5" thickBot="1" x14ac:dyDescent="0.25">
      <c r="A46" s="1108">
        <v>107.01</v>
      </c>
      <c r="B46" s="1109" t="s">
        <v>1114</v>
      </c>
      <c r="C46" s="1110" t="s">
        <v>1115</v>
      </c>
      <c r="D46" s="1106" t="s">
        <v>1046</v>
      </c>
      <c r="E46" s="1107" t="s">
        <v>1047</v>
      </c>
      <c r="H46">
        <v>1</v>
      </c>
      <c r="I46" t="s">
        <v>1046</v>
      </c>
    </row>
    <row r="47" spans="1:9" ht="13.5" thickBot="1" x14ac:dyDescent="0.25">
      <c r="A47" s="1111"/>
      <c r="B47" s="1109" t="s">
        <v>1116</v>
      </c>
      <c r="C47" s="1110" t="s">
        <v>1051</v>
      </c>
      <c r="D47" s="1106" t="s">
        <v>1046</v>
      </c>
      <c r="E47" s="1107" t="s">
        <v>1047</v>
      </c>
      <c r="H47">
        <v>1</v>
      </c>
      <c r="I47" t="s">
        <v>1046</v>
      </c>
    </row>
    <row r="48" spans="1:9" ht="13.5" thickBot="1" x14ac:dyDescent="0.25">
      <c r="A48" s="1108">
        <v>107.02</v>
      </c>
      <c r="B48" s="1109" t="s">
        <v>1117</v>
      </c>
      <c r="C48" s="1110" t="s">
        <v>1118</v>
      </c>
      <c r="D48" s="1106" t="s">
        <v>1046</v>
      </c>
      <c r="E48" s="1107" t="s">
        <v>1047</v>
      </c>
      <c r="H48">
        <v>1</v>
      </c>
      <c r="I48" t="s">
        <v>1046</v>
      </c>
    </row>
    <row r="49" spans="1:9" ht="13.5" thickBot="1" x14ac:dyDescent="0.25">
      <c r="A49" s="1111"/>
      <c r="B49" s="1109" t="s">
        <v>1119</v>
      </c>
      <c r="C49" s="1110" t="s">
        <v>1051</v>
      </c>
      <c r="D49" s="1106" t="s">
        <v>1046</v>
      </c>
      <c r="E49" s="1107" t="s">
        <v>1047</v>
      </c>
      <c r="H49">
        <v>1</v>
      </c>
      <c r="I49" t="s">
        <v>1046</v>
      </c>
    </row>
    <row r="50" spans="1:9" ht="13.5" thickBot="1" x14ac:dyDescent="0.25">
      <c r="A50" s="1108">
        <v>107.03</v>
      </c>
      <c r="B50" s="1109" t="s">
        <v>1120</v>
      </c>
      <c r="C50" s="1110" t="s">
        <v>1121</v>
      </c>
      <c r="D50" s="1106" t="s">
        <v>1046</v>
      </c>
      <c r="E50" s="1107" t="s">
        <v>1047</v>
      </c>
      <c r="H50">
        <v>1</v>
      </c>
      <c r="I50" t="s">
        <v>1046</v>
      </c>
    </row>
    <row r="51" spans="1:9" ht="13.5" thickBot="1" x14ac:dyDescent="0.25">
      <c r="A51" s="1111"/>
      <c r="B51" s="1109" t="s">
        <v>1122</v>
      </c>
      <c r="C51" s="1110" t="s">
        <v>1051</v>
      </c>
      <c r="D51" s="1106" t="s">
        <v>1046</v>
      </c>
      <c r="E51" s="1107" t="s">
        <v>1047</v>
      </c>
      <c r="H51">
        <v>1</v>
      </c>
      <c r="I51" t="s">
        <v>1046</v>
      </c>
    </row>
    <row r="52" spans="1:9" ht="13.5" thickBot="1" x14ac:dyDescent="0.25">
      <c r="A52" s="1108">
        <v>107.04</v>
      </c>
      <c r="B52" s="1109" t="s">
        <v>1123</v>
      </c>
      <c r="C52" s="1110" t="s">
        <v>1124</v>
      </c>
      <c r="D52" s="1106" t="s">
        <v>1046</v>
      </c>
      <c r="E52" s="1107" t="s">
        <v>1047</v>
      </c>
      <c r="H52">
        <v>1</v>
      </c>
      <c r="I52" t="s">
        <v>1046</v>
      </c>
    </row>
    <row r="53" spans="1:9" ht="13.5" thickBot="1" x14ac:dyDescent="0.25">
      <c r="A53" s="1111"/>
      <c r="B53" s="1109" t="s">
        <v>1125</v>
      </c>
      <c r="C53" s="1110" t="s">
        <v>1051</v>
      </c>
      <c r="D53" s="1106" t="s">
        <v>1046</v>
      </c>
      <c r="E53" s="1107" t="s">
        <v>1047</v>
      </c>
      <c r="H53">
        <v>1</v>
      </c>
      <c r="I53" t="s">
        <v>1046</v>
      </c>
    </row>
    <row r="54" spans="1:9" ht="13.5" thickBot="1" x14ac:dyDescent="0.25">
      <c r="A54" s="1108">
        <v>107.05</v>
      </c>
      <c r="B54" s="1109" t="s">
        <v>1126</v>
      </c>
      <c r="C54" s="1110" t="s">
        <v>1127</v>
      </c>
      <c r="D54" s="1106" t="s">
        <v>1046</v>
      </c>
      <c r="E54" s="1107" t="s">
        <v>1047</v>
      </c>
      <c r="H54">
        <v>1</v>
      </c>
      <c r="I54" t="s">
        <v>1046</v>
      </c>
    </row>
    <row r="55" spans="1:9" ht="13.5" thickBot="1" x14ac:dyDescent="0.25">
      <c r="A55" s="1111"/>
      <c r="B55" s="1109" t="s">
        <v>1128</v>
      </c>
      <c r="C55" s="1110" t="s">
        <v>1051</v>
      </c>
      <c r="D55" s="1106" t="s">
        <v>1046</v>
      </c>
      <c r="E55" s="1107" t="s">
        <v>1047</v>
      </c>
      <c r="H55">
        <v>1</v>
      </c>
      <c r="I55" t="s">
        <v>1046</v>
      </c>
    </row>
    <row r="56" spans="1:9" ht="13.5" thickBot="1" x14ac:dyDescent="0.25">
      <c r="A56" s="1133">
        <v>217.01</v>
      </c>
      <c r="B56" s="1109" t="s">
        <v>1129</v>
      </c>
      <c r="C56" s="1134" t="s">
        <v>1130</v>
      </c>
      <c r="D56" s="1106" t="s">
        <v>1046</v>
      </c>
      <c r="E56" s="1107" t="s">
        <v>1047</v>
      </c>
      <c r="H56">
        <v>1</v>
      </c>
      <c r="I56" t="s">
        <v>1046</v>
      </c>
    </row>
    <row r="57" spans="1:9" ht="13.5" thickBot="1" x14ac:dyDescent="0.25">
      <c r="A57" s="1111"/>
      <c r="B57" s="1109" t="s">
        <v>1131</v>
      </c>
      <c r="C57" s="1110" t="s">
        <v>1051</v>
      </c>
      <c r="D57" s="1106" t="s">
        <v>1046</v>
      </c>
      <c r="E57" s="1107" t="s">
        <v>1047</v>
      </c>
      <c r="H57">
        <v>1</v>
      </c>
      <c r="I57" t="s">
        <v>1046</v>
      </c>
    </row>
    <row r="58" spans="1:9" ht="13.5" thickBot="1" x14ac:dyDescent="0.25">
      <c r="A58" s="1104">
        <v>108</v>
      </c>
      <c r="B58" s="1104" t="s">
        <v>1132</v>
      </c>
      <c r="C58" s="1116" t="s">
        <v>1133</v>
      </c>
      <c r="D58" s="1106" t="s">
        <v>1046</v>
      </c>
      <c r="E58" s="1107" t="s">
        <v>1134</v>
      </c>
      <c r="H58">
        <v>1</v>
      </c>
      <c r="I58" t="s">
        <v>1046</v>
      </c>
    </row>
    <row r="59" spans="1:9" ht="13.5" thickBot="1" x14ac:dyDescent="0.25">
      <c r="A59" s="1108">
        <v>108.01</v>
      </c>
      <c r="B59" s="1109" t="s">
        <v>1135</v>
      </c>
      <c r="C59" s="1110" t="s">
        <v>1136</v>
      </c>
      <c r="D59" s="1106" t="s">
        <v>1046</v>
      </c>
      <c r="E59" s="1107" t="s">
        <v>1134</v>
      </c>
      <c r="H59">
        <v>1</v>
      </c>
      <c r="I59" t="s">
        <v>1046</v>
      </c>
    </row>
    <row r="60" spans="1:9" ht="13.5" thickBot="1" x14ac:dyDescent="0.25">
      <c r="A60" s="1111"/>
      <c r="B60" s="1109" t="s">
        <v>1137</v>
      </c>
      <c r="C60" s="1110" t="s">
        <v>1051</v>
      </c>
      <c r="D60" s="1106" t="s">
        <v>1046</v>
      </c>
      <c r="E60" s="1107" t="s">
        <v>1134</v>
      </c>
      <c r="H60">
        <v>1</v>
      </c>
      <c r="I60" t="s">
        <v>1046</v>
      </c>
    </row>
    <row r="61" spans="1:9" ht="23.25" thickBot="1" x14ac:dyDescent="0.25">
      <c r="A61" s="1108">
        <v>108.02</v>
      </c>
      <c r="B61" s="1109" t="s">
        <v>1138</v>
      </c>
      <c r="C61" s="1110" t="s">
        <v>1139</v>
      </c>
      <c r="D61" s="1106" t="s">
        <v>1046</v>
      </c>
      <c r="E61" s="1107" t="s">
        <v>1134</v>
      </c>
      <c r="H61">
        <v>1</v>
      </c>
      <c r="I61" t="s">
        <v>1046</v>
      </c>
    </row>
    <row r="62" spans="1:9" ht="13.5" thickBot="1" x14ac:dyDescent="0.25">
      <c r="A62" s="1111"/>
      <c r="B62" s="1109" t="s">
        <v>1140</v>
      </c>
      <c r="C62" s="1110" t="s">
        <v>1051</v>
      </c>
      <c r="D62" s="1106" t="s">
        <v>1046</v>
      </c>
      <c r="E62" s="1107" t="s">
        <v>1134</v>
      </c>
      <c r="H62">
        <v>1</v>
      </c>
      <c r="I62" t="s">
        <v>1046</v>
      </c>
    </row>
    <row r="63" spans="1:9" ht="13.5" thickBot="1" x14ac:dyDescent="0.25">
      <c r="A63" s="1108">
        <v>108.03</v>
      </c>
      <c r="B63" s="1109" t="s">
        <v>1141</v>
      </c>
      <c r="C63" s="1110" t="s">
        <v>1142</v>
      </c>
      <c r="D63" s="1106" t="s">
        <v>1046</v>
      </c>
      <c r="E63" s="1107" t="s">
        <v>1134</v>
      </c>
      <c r="H63">
        <v>1</v>
      </c>
      <c r="I63" t="s">
        <v>1046</v>
      </c>
    </row>
    <row r="64" spans="1:9" ht="13.5" thickBot="1" x14ac:dyDescent="0.25">
      <c r="A64" s="1111"/>
      <c r="B64" s="1109" t="s">
        <v>1143</v>
      </c>
      <c r="C64" s="1110" t="s">
        <v>1051</v>
      </c>
      <c r="D64" s="1106" t="s">
        <v>1046</v>
      </c>
      <c r="E64" s="1107" t="s">
        <v>1134</v>
      </c>
      <c r="H64">
        <v>1</v>
      </c>
      <c r="I64" t="s">
        <v>1046</v>
      </c>
    </row>
    <row r="65" spans="1:9" ht="13.5" thickBot="1" x14ac:dyDescent="0.25">
      <c r="A65" s="1108">
        <v>108.04</v>
      </c>
      <c r="B65" s="1109" t="s">
        <v>1144</v>
      </c>
      <c r="C65" s="1110" t="s">
        <v>1145</v>
      </c>
      <c r="D65" s="1106" t="s">
        <v>1046</v>
      </c>
      <c r="E65" s="1107" t="s">
        <v>1134</v>
      </c>
      <c r="H65">
        <v>1</v>
      </c>
      <c r="I65" t="s">
        <v>1046</v>
      </c>
    </row>
    <row r="66" spans="1:9" ht="13.5" thickBot="1" x14ac:dyDescent="0.25">
      <c r="A66" s="1111"/>
      <c r="B66" s="1109" t="s">
        <v>1146</v>
      </c>
      <c r="C66" s="1110" t="s">
        <v>1051</v>
      </c>
      <c r="D66" s="1106" t="s">
        <v>1046</v>
      </c>
      <c r="E66" s="1107" t="s">
        <v>1134</v>
      </c>
      <c r="H66">
        <v>1</v>
      </c>
      <c r="I66" t="s">
        <v>1046</v>
      </c>
    </row>
    <row r="67" spans="1:9" ht="13.5" thickBot="1" x14ac:dyDescent="0.25">
      <c r="A67" s="1104">
        <v>109</v>
      </c>
      <c r="B67" s="1104" t="s">
        <v>1147</v>
      </c>
      <c r="C67" s="1116" t="s">
        <v>1148</v>
      </c>
      <c r="D67" s="1106" t="s">
        <v>1046</v>
      </c>
      <c r="E67" s="1107" t="s">
        <v>1047</v>
      </c>
      <c r="H67">
        <v>1</v>
      </c>
      <c r="I67" t="s">
        <v>1046</v>
      </c>
    </row>
    <row r="68" spans="1:9" ht="13.5" thickBot="1" x14ac:dyDescent="0.25">
      <c r="A68" s="1108">
        <v>109.01</v>
      </c>
      <c r="B68" s="1109" t="s">
        <v>1149</v>
      </c>
      <c r="C68" s="1110" t="s">
        <v>1150</v>
      </c>
      <c r="D68" s="1106" t="s">
        <v>1046</v>
      </c>
      <c r="E68" s="1107" t="s">
        <v>1047</v>
      </c>
      <c r="H68">
        <v>1</v>
      </c>
      <c r="I68" t="s">
        <v>1046</v>
      </c>
    </row>
    <row r="69" spans="1:9" ht="13.5" thickBot="1" x14ac:dyDescent="0.25">
      <c r="A69" s="1111"/>
      <c r="B69" s="1109" t="s">
        <v>1151</v>
      </c>
      <c r="C69" s="1110" t="s">
        <v>1051</v>
      </c>
      <c r="D69" s="1106" t="s">
        <v>1046</v>
      </c>
      <c r="E69" s="1107" t="s">
        <v>1047</v>
      </c>
      <c r="H69">
        <v>1</v>
      </c>
      <c r="I69" t="s">
        <v>1046</v>
      </c>
    </row>
    <row r="70" spans="1:9" ht="13.5" thickBot="1" x14ac:dyDescent="0.25">
      <c r="A70" s="1108">
        <v>109.02</v>
      </c>
      <c r="B70" s="1109" t="s">
        <v>1152</v>
      </c>
      <c r="C70" s="1110" t="s">
        <v>1153</v>
      </c>
      <c r="D70" s="1106" t="s">
        <v>1046</v>
      </c>
      <c r="E70" s="1107" t="s">
        <v>1047</v>
      </c>
      <c r="H70">
        <v>1</v>
      </c>
      <c r="I70" t="s">
        <v>1046</v>
      </c>
    </row>
    <row r="71" spans="1:9" ht="13.5" thickBot="1" x14ac:dyDescent="0.25">
      <c r="A71" s="1111"/>
      <c r="B71" s="1109" t="s">
        <v>1154</v>
      </c>
      <c r="C71" s="1110" t="s">
        <v>1051</v>
      </c>
      <c r="D71" s="1106" t="s">
        <v>1046</v>
      </c>
      <c r="E71" s="1107" t="s">
        <v>1047</v>
      </c>
      <c r="H71">
        <v>1</v>
      </c>
      <c r="I71" t="s">
        <v>1046</v>
      </c>
    </row>
    <row r="72" spans="1:9" ht="13.5" thickBot="1" x14ac:dyDescent="0.25">
      <c r="A72" s="1108">
        <v>109.03</v>
      </c>
      <c r="B72" s="1109" t="s">
        <v>1155</v>
      </c>
      <c r="C72" s="1110" t="s">
        <v>1156</v>
      </c>
      <c r="D72" s="1106" t="s">
        <v>1046</v>
      </c>
      <c r="E72" s="1107" t="s">
        <v>1047</v>
      </c>
      <c r="H72">
        <v>1</v>
      </c>
      <c r="I72" t="s">
        <v>1046</v>
      </c>
    </row>
    <row r="73" spans="1:9" ht="13.5" thickBot="1" x14ac:dyDescent="0.25">
      <c r="A73" s="1111"/>
      <c r="B73" s="1109" t="s">
        <v>1157</v>
      </c>
      <c r="C73" s="1110" t="s">
        <v>1051</v>
      </c>
      <c r="D73" s="1106" t="s">
        <v>1046</v>
      </c>
      <c r="E73" s="1107" t="s">
        <v>1047</v>
      </c>
      <c r="H73">
        <v>1</v>
      </c>
      <c r="I73" t="s">
        <v>1046</v>
      </c>
    </row>
    <row r="74" spans="1:9" ht="13.5" thickBot="1" x14ac:dyDescent="0.25">
      <c r="A74" s="1108">
        <v>109.04</v>
      </c>
      <c r="B74" s="1109" t="s">
        <v>1158</v>
      </c>
      <c r="C74" s="1110" t="s">
        <v>1153</v>
      </c>
      <c r="D74" s="1106" t="s">
        <v>1046</v>
      </c>
      <c r="E74" s="1107" t="s">
        <v>1047</v>
      </c>
      <c r="H74">
        <v>1</v>
      </c>
      <c r="I74" t="s">
        <v>1046</v>
      </c>
    </row>
    <row r="75" spans="1:9" ht="13.5" thickBot="1" x14ac:dyDescent="0.25">
      <c r="A75" s="1111"/>
      <c r="B75" s="1109" t="s">
        <v>1159</v>
      </c>
      <c r="C75" s="1110" t="s">
        <v>1051</v>
      </c>
      <c r="D75" s="1106" t="s">
        <v>1046</v>
      </c>
      <c r="E75" s="1107" t="s">
        <v>1047</v>
      </c>
      <c r="H75">
        <v>1</v>
      </c>
      <c r="I75" t="s">
        <v>1046</v>
      </c>
    </row>
    <row r="76" spans="1:9" ht="13.5" thickBot="1" x14ac:dyDescent="0.25">
      <c r="A76" s="1108">
        <v>109.05</v>
      </c>
      <c r="B76" s="1109" t="s">
        <v>1160</v>
      </c>
      <c r="C76" s="1110" t="s">
        <v>1161</v>
      </c>
      <c r="D76" s="1106" t="s">
        <v>1046</v>
      </c>
      <c r="E76" s="1107" t="s">
        <v>1047</v>
      </c>
      <c r="H76">
        <v>1</v>
      </c>
      <c r="I76" t="s">
        <v>1046</v>
      </c>
    </row>
    <row r="77" spans="1:9" ht="13.5" thickBot="1" x14ac:dyDescent="0.25">
      <c r="A77" s="1111"/>
      <c r="B77" s="1109" t="s">
        <v>1162</v>
      </c>
      <c r="C77" s="1110" t="s">
        <v>1051</v>
      </c>
      <c r="D77" s="1106" t="s">
        <v>1046</v>
      </c>
      <c r="E77" s="1107" t="s">
        <v>1047</v>
      </c>
      <c r="H77">
        <v>1</v>
      </c>
      <c r="I77" t="s">
        <v>1046</v>
      </c>
    </row>
    <row r="78" spans="1:9" ht="13.5" thickBot="1" x14ac:dyDescent="0.25">
      <c r="A78" s="1108">
        <v>109.06</v>
      </c>
      <c r="B78" s="1109" t="s">
        <v>1163</v>
      </c>
      <c r="C78" s="1110" t="s">
        <v>1164</v>
      </c>
      <c r="D78" s="1106" t="s">
        <v>1046</v>
      </c>
      <c r="E78" s="1107" t="s">
        <v>1047</v>
      </c>
      <c r="H78">
        <v>1</v>
      </c>
      <c r="I78" t="s">
        <v>1046</v>
      </c>
    </row>
    <row r="79" spans="1:9" ht="13.5" thickBot="1" x14ac:dyDescent="0.25">
      <c r="A79" s="1111"/>
      <c r="B79" s="1109" t="s">
        <v>1165</v>
      </c>
      <c r="C79" s="1110" t="s">
        <v>1051</v>
      </c>
      <c r="D79" s="1106" t="s">
        <v>1046</v>
      </c>
      <c r="E79" s="1107" t="s">
        <v>1047</v>
      </c>
      <c r="H79">
        <v>1</v>
      </c>
      <c r="I79" t="s">
        <v>1046</v>
      </c>
    </row>
    <row r="80" spans="1:9" ht="13.5" thickBot="1" x14ac:dyDescent="0.25">
      <c r="A80" s="1108">
        <v>109.07</v>
      </c>
      <c r="B80" s="1109" t="s">
        <v>1166</v>
      </c>
      <c r="C80" s="1110" t="s">
        <v>1167</v>
      </c>
      <c r="D80" s="1106" t="s">
        <v>1046</v>
      </c>
      <c r="E80" s="1107" t="s">
        <v>1047</v>
      </c>
      <c r="H80">
        <v>1</v>
      </c>
      <c r="I80" t="s">
        <v>1046</v>
      </c>
    </row>
    <row r="81" spans="1:9" ht="13.5" thickBot="1" x14ac:dyDescent="0.25">
      <c r="A81" s="1111"/>
      <c r="B81" s="1109" t="s">
        <v>1168</v>
      </c>
      <c r="C81" s="1110" t="s">
        <v>1051</v>
      </c>
      <c r="D81" s="1106" t="s">
        <v>1046</v>
      </c>
      <c r="E81" s="1107" t="s">
        <v>1047</v>
      </c>
      <c r="H81">
        <v>1</v>
      </c>
      <c r="I81" t="s">
        <v>1046</v>
      </c>
    </row>
    <row r="82" spans="1:9" ht="13.5" thickBot="1" x14ac:dyDescent="0.25">
      <c r="A82" s="1108">
        <v>109.08</v>
      </c>
      <c r="B82" s="1109" t="s">
        <v>1169</v>
      </c>
      <c r="C82" s="1110" t="s">
        <v>1170</v>
      </c>
      <c r="D82" s="1106" t="s">
        <v>1046</v>
      </c>
      <c r="E82" s="1107" t="s">
        <v>1047</v>
      </c>
      <c r="H82">
        <v>1</v>
      </c>
      <c r="I82" t="s">
        <v>1046</v>
      </c>
    </row>
    <row r="83" spans="1:9" ht="13.5" thickBot="1" x14ac:dyDescent="0.25">
      <c r="A83" s="1111"/>
      <c r="B83" s="1109" t="s">
        <v>1171</v>
      </c>
      <c r="C83" s="1110" t="s">
        <v>1051</v>
      </c>
      <c r="D83" s="1106" t="s">
        <v>1046</v>
      </c>
      <c r="E83" s="1107" t="s">
        <v>1047</v>
      </c>
      <c r="H83">
        <v>1</v>
      </c>
      <c r="I83" t="s">
        <v>1046</v>
      </c>
    </row>
    <row r="84" spans="1:9" ht="13.5" thickBot="1" x14ac:dyDescent="0.25">
      <c r="A84" s="1108">
        <v>109.09</v>
      </c>
      <c r="B84" s="1109" t="s">
        <v>1172</v>
      </c>
      <c r="C84" s="1110" t="s">
        <v>1173</v>
      </c>
      <c r="D84" s="1106" t="s">
        <v>1046</v>
      </c>
      <c r="E84" s="1107" t="s">
        <v>1047</v>
      </c>
      <c r="H84">
        <v>1</v>
      </c>
      <c r="I84" t="s">
        <v>1046</v>
      </c>
    </row>
    <row r="85" spans="1:9" ht="13.5" thickBot="1" x14ac:dyDescent="0.25">
      <c r="A85" s="1111"/>
      <c r="B85" s="1109" t="s">
        <v>1174</v>
      </c>
      <c r="C85" s="1110" t="s">
        <v>1051</v>
      </c>
      <c r="D85" s="1106" t="s">
        <v>1046</v>
      </c>
      <c r="E85" s="1107" t="s">
        <v>1047</v>
      </c>
      <c r="H85">
        <v>1</v>
      </c>
      <c r="I85" t="s">
        <v>1046</v>
      </c>
    </row>
    <row r="86" spans="1:9" ht="13.5" thickBot="1" x14ac:dyDescent="0.25">
      <c r="A86" s="1108">
        <v>109.1</v>
      </c>
      <c r="B86" s="1109" t="s">
        <v>1175</v>
      </c>
      <c r="C86" s="1110" t="s">
        <v>1176</v>
      </c>
      <c r="D86" s="1106" t="s">
        <v>1046</v>
      </c>
      <c r="E86" s="1107" t="s">
        <v>1047</v>
      </c>
      <c r="H86">
        <v>1</v>
      </c>
      <c r="I86" t="s">
        <v>1046</v>
      </c>
    </row>
    <row r="87" spans="1:9" ht="13.5" thickBot="1" x14ac:dyDescent="0.25">
      <c r="A87" s="1111"/>
      <c r="B87" s="1109" t="s">
        <v>1177</v>
      </c>
      <c r="C87" s="1110" t="s">
        <v>1051</v>
      </c>
      <c r="D87" s="1106" t="s">
        <v>1046</v>
      </c>
      <c r="E87" s="1107" t="s">
        <v>1047</v>
      </c>
      <c r="H87">
        <v>1</v>
      </c>
      <c r="I87" t="s">
        <v>1046</v>
      </c>
    </row>
    <row r="88" spans="1:9" ht="13.5" thickBot="1" x14ac:dyDescent="0.25">
      <c r="A88" s="1108">
        <v>109.11</v>
      </c>
      <c r="B88" s="1109" t="s">
        <v>1178</v>
      </c>
      <c r="C88" s="1110" t="s">
        <v>1179</v>
      </c>
      <c r="D88" s="1106" t="s">
        <v>1046</v>
      </c>
      <c r="E88" s="1107" t="s">
        <v>1047</v>
      </c>
      <c r="H88">
        <v>1</v>
      </c>
      <c r="I88" t="s">
        <v>1046</v>
      </c>
    </row>
    <row r="89" spans="1:9" ht="13.5" thickBot="1" x14ac:dyDescent="0.25">
      <c r="A89" s="1111"/>
      <c r="B89" s="1109" t="s">
        <v>1180</v>
      </c>
      <c r="C89" s="1110" t="s">
        <v>1051</v>
      </c>
      <c r="D89" s="1106" t="s">
        <v>1046</v>
      </c>
      <c r="E89" s="1107" t="s">
        <v>1047</v>
      </c>
      <c r="H89">
        <v>1</v>
      </c>
      <c r="I89" t="s">
        <v>1046</v>
      </c>
    </row>
    <row r="90" spans="1:9" ht="13.5" thickBot="1" x14ac:dyDescent="0.25">
      <c r="A90" s="1108">
        <v>109.12</v>
      </c>
      <c r="B90" s="1109" t="s">
        <v>1181</v>
      </c>
      <c r="C90" s="1110" t="s">
        <v>1182</v>
      </c>
      <c r="D90" s="1106" t="s">
        <v>1046</v>
      </c>
      <c r="E90" s="1107" t="s">
        <v>1047</v>
      </c>
      <c r="H90">
        <v>1</v>
      </c>
      <c r="I90" t="s">
        <v>1046</v>
      </c>
    </row>
    <row r="91" spans="1:9" ht="13.5" thickBot="1" x14ac:dyDescent="0.25">
      <c r="A91" s="1111"/>
      <c r="B91" s="1109" t="s">
        <v>1183</v>
      </c>
      <c r="C91" s="1110" t="s">
        <v>1051</v>
      </c>
      <c r="D91" s="1106" t="s">
        <v>1046</v>
      </c>
      <c r="E91" s="1107" t="s">
        <v>1047</v>
      </c>
      <c r="H91">
        <v>1</v>
      </c>
      <c r="I91" t="s">
        <v>1046</v>
      </c>
    </row>
    <row r="92" spans="1:9" ht="13.5" thickBot="1" x14ac:dyDescent="0.25">
      <c r="A92" s="1108">
        <v>109.13</v>
      </c>
      <c r="B92" s="1109" t="s">
        <v>1184</v>
      </c>
      <c r="C92" s="1110" t="s">
        <v>1185</v>
      </c>
      <c r="D92" s="1106" t="s">
        <v>1046</v>
      </c>
      <c r="E92" s="1107" t="s">
        <v>1047</v>
      </c>
      <c r="H92">
        <v>1</v>
      </c>
      <c r="I92" t="s">
        <v>1046</v>
      </c>
    </row>
    <row r="93" spans="1:9" ht="13.5" thickBot="1" x14ac:dyDescent="0.25">
      <c r="A93" s="1111"/>
      <c r="B93" s="1109" t="s">
        <v>1186</v>
      </c>
      <c r="C93" s="1110" t="s">
        <v>1051</v>
      </c>
      <c r="D93" s="1106" t="s">
        <v>1046</v>
      </c>
      <c r="E93" s="1107" t="s">
        <v>1047</v>
      </c>
      <c r="H93">
        <v>1</v>
      </c>
      <c r="I93" t="s">
        <v>1046</v>
      </c>
    </row>
    <row r="94" spans="1:9" ht="13.5" thickBot="1" x14ac:dyDescent="0.25">
      <c r="A94" s="1108">
        <v>109.14</v>
      </c>
      <c r="B94" s="1109" t="s">
        <v>1187</v>
      </c>
      <c r="C94" s="1110" t="s">
        <v>1188</v>
      </c>
      <c r="D94" s="1106" t="s">
        <v>1046</v>
      </c>
      <c r="E94" s="1107" t="s">
        <v>1047</v>
      </c>
      <c r="H94">
        <v>1</v>
      </c>
      <c r="I94" t="s">
        <v>1046</v>
      </c>
    </row>
    <row r="95" spans="1:9" ht="13.5" thickBot="1" x14ac:dyDescent="0.25">
      <c r="A95" s="1111"/>
      <c r="B95" s="1109" t="s">
        <v>1189</v>
      </c>
      <c r="C95" s="1110" t="s">
        <v>1051</v>
      </c>
      <c r="D95" s="1106" t="s">
        <v>1046</v>
      </c>
      <c r="E95" s="1107" t="s">
        <v>1047</v>
      </c>
      <c r="H95">
        <v>1</v>
      </c>
      <c r="I95" t="s">
        <v>1046</v>
      </c>
    </row>
    <row r="96" spans="1:9" ht="13.5" thickBot="1" x14ac:dyDescent="0.25">
      <c r="A96" s="1108">
        <v>109.15</v>
      </c>
      <c r="B96" s="1109" t="s">
        <v>1190</v>
      </c>
      <c r="C96" s="1110" t="s">
        <v>1191</v>
      </c>
      <c r="D96" s="1106" t="s">
        <v>1046</v>
      </c>
      <c r="E96" s="1107" t="s">
        <v>1047</v>
      </c>
      <c r="H96">
        <v>1</v>
      </c>
      <c r="I96" t="s">
        <v>1046</v>
      </c>
    </row>
    <row r="97" spans="1:9" ht="13.5" thickBot="1" x14ac:dyDescent="0.25">
      <c r="A97" s="1111"/>
      <c r="B97" s="1109" t="s">
        <v>1192</v>
      </c>
      <c r="C97" s="1110" t="s">
        <v>1051</v>
      </c>
      <c r="D97" s="1106" t="s">
        <v>1046</v>
      </c>
      <c r="E97" s="1107" t="s">
        <v>1047</v>
      </c>
      <c r="H97">
        <v>1</v>
      </c>
      <c r="I97" t="s">
        <v>1046</v>
      </c>
    </row>
    <row r="98" spans="1:9" ht="13.5" thickBot="1" x14ac:dyDescent="0.25">
      <c r="A98" s="1108">
        <v>109.16</v>
      </c>
      <c r="B98" s="1109" t="s">
        <v>1193</v>
      </c>
      <c r="C98" s="1110" t="s">
        <v>1194</v>
      </c>
      <c r="D98" s="1106" t="s">
        <v>1046</v>
      </c>
      <c r="E98" s="1107" t="s">
        <v>1047</v>
      </c>
      <c r="H98">
        <v>1</v>
      </c>
      <c r="I98" t="s">
        <v>1046</v>
      </c>
    </row>
    <row r="99" spans="1:9" ht="13.5" thickBot="1" x14ac:dyDescent="0.25">
      <c r="A99" s="1111"/>
      <c r="B99" s="1109" t="s">
        <v>1195</v>
      </c>
      <c r="C99" s="1110" t="s">
        <v>1051</v>
      </c>
      <c r="D99" s="1106" t="s">
        <v>1046</v>
      </c>
      <c r="E99" s="1107" t="s">
        <v>1047</v>
      </c>
      <c r="H99">
        <v>1</v>
      </c>
      <c r="I99" t="s">
        <v>1046</v>
      </c>
    </row>
    <row r="100" spans="1:9" ht="13.5" thickBot="1" x14ac:dyDescent="0.25">
      <c r="A100" s="1108">
        <v>109.17</v>
      </c>
      <c r="B100" s="1109" t="s">
        <v>1196</v>
      </c>
      <c r="C100" s="1110" t="s">
        <v>1197</v>
      </c>
      <c r="D100" s="1106" t="s">
        <v>1046</v>
      </c>
      <c r="E100" s="1107" t="s">
        <v>1047</v>
      </c>
      <c r="H100">
        <v>1</v>
      </c>
      <c r="I100" t="s">
        <v>1046</v>
      </c>
    </row>
    <row r="101" spans="1:9" ht="13.5" thickBot="1" x14ac:dyDescent="0.25">
      <c r="A101" s="1111"/>
      <c r="B101" s="1109" t="s">
        <v>1198</v>
      </c>
      <c r="C101" s="1110" t="s">
        <v>1051</v>
      </c>
      <c r="D101" s="1106" t="s">
        <v>1046</v>
      </c>
      <c r="E101" s="1107" t="s">
        <v>1047</v>
      </c>
      <c r="H101">
        <v>1</v>
      </c>
      <c r="I101" t="s">
        <v>1046</v>
      </c>
    </row>
    <row r="102" spans="1:9" ht="13.5" thickBot="1" x14ac:dyDescent="0.25">
      <c r="A102" s="1108">
        <v>109.18</v>
      </c>
      <c r="B102" s="1109" t="s">
        <v>1199</v>
      </c>
      <c r="C102" s="1110" t="s">
        <v>1200</v>
      </c>
      <c r="D102" s="1106" t="s">
        <v>1046</v>
      </c>
      <c r="E102" s="1107" t="s">
        <v>1047</v>
      </c>
      <c r="H102">
        <v>1</v>
      </c>
      <c r="I102" t="s">
        <v>1046</v>
      </c>
    </row>
    <row r="103" spans="1:9" ht="13.5" thickBot="1" x14ac:dyDescent="0.25">
      <c r="A103" s="1111"/>
      <c r="B103" s="1109" t="s">
        <v>1201</v>
      </c>
      <c r="C103" s="1110" t="s">
        <v>1051</v>
      </c>
      <c r="D103" s="1106" t="s">
        <v>1046</v>
      </c>
      <c r="E103" s="1107" t="s">
        <v>1047</v>
      </c>
      <c r="H103">
        <v>1</v>
      </c>
      <c r="I103" t="s">
        <v>1046</v>
      </c>
    </row>
    <row r="104" spans="1:9" ht="13.5" thickBot="1" x14ac:dyDescent="0.25">
      <c r="A104" s="1108">
        <v>109.19</v>
      </c>
      <c r="B104" s="1109" t="s">
        <v>1202</v>
      </c>
      <c r="C104" s="1110" t="s">
        <v>1203</v>
      </c>
      <c r="D104" s="1106" t="s">
        <v>1046</v>
      </c>
      <c r="E104" s="1107" t="s">
        <v>1047</v>
      </c>
      <c r="H104">
        <v>1</v>
      </c>
      <c r="I104" t="s">
        <v>1046</v>
      </c>
    </row>
    <row r="105" spans="1:9" ht="13.5" thickBot="1" x14ac:dyDescent="0.25">
      <c r="A105" s="1111"/>
      <c r="B105" s="1109" t="s">
        <v>1204</v>
      </c>
      <c r="C105" s="1110" t="s">
        <v>1051</v>
      </c>
      <c r="D105" s="1106" t="s">
        <v>1046</v>
      </c>
      <c r="E105" s="1107" t="s">
        <v>1047</v>
      </c>
      <c r="H105">
        <v>1</v>
      </c>
      <c r="I105" t="s">
        <v>1046</v>
      </c>
    </row>
    <row r="106" spans="1:9" ht="13.5" thickBot="1" x14ac:dyDescent="0.25">
      <c r="A106" s="1108">
        <v>109.2</v>
      </c>
      <c r="B106" s="1109" t="s">
        <v>1205</v>
      </c>
      <c r="C106" s="1110" t="s">
        <v>1206</v>
      </c>
      <c r="D106" s="1106" t="s">
        <v>1046</v>
      </c>
      <c r="E106" s="1107" t="s">
        <v>1047</v>
      </c>
      <c r="H106">
        <v>1</v>
      </c>
      <c r="I106" t="s">
        <v>1046</v>
      </c>
    </row>
    <row r="107" spans="1:9" ht="13.5" thickBot="1" x14ac:dyDescent="0.25">
      <c r="A107" s="1111"/>
      <c r="B107" s="1109" t="s">
        <v>1207</v>
      </c>
      <c r="C107" s="1110" t="s">
        <v>1051</v>
      </c>
      <c r="D107" s="1106" t="s">
        <v>1046</v>
      </c>
      <c r="E107" s="1107" t="s">
        <v>1047</v>
      </c>
      <c r="H107">
        <v>1</v>
      </c>
      <c r="I107" t="s">
        <v>1046</v>
      </c>
    </row>
    <row r="108" spans="1:9" ht="13.5" thickBot="1" x14ac:dyDescent="0.25">
      <c r="A108" s="1108">
        <v>109.21</v>
      </c>
      <c r="B108" s="1109" t="s">
        <v>1208</v>
      </c>
      <c r="C108" s="1135" t="s">
        <v>1209</v>
      </c>
      <c r="D108" s="1106" t="s">
        <v>1046</v>
      </c>
      <c r="E108" s="1107" t="s">
        <v>1210</v>
      </c>
      <c r="H108">
        <v>1</v>
      </c>
      <c r="I108" t="s">
        <v>1046</v>
      </c>
    </row>
    <row r="109" spans="1:9" ht="13.5" thickBot="1" x14ac:dyDescent="0.25">
      <c r="A109" s="1111"/>
      <c r="B109" s="1109" t="s">
        <v>1211</v>
      </c>
      <c r="C109" s="1135" t="s">
        <v>1051</v>
      </c>
      <c r="D109" s="1106" t="s">
        <v>1046</v>
      </c>
      <c r="E109" s="1107" t="s">
        <v>1210</v>
      </c>
      <c r="H109">
        <v>1</v>
      </c>
      <c r="I109" t="s">
        <v>1046</v>
      </c>
    </row>
    <row r="110" spans="1:9" ht="13.5" thickBot="1" x14ac:dyDescent="0.25">
      <c r="A110" s="1108">
        <v>109.22</v>
      </c>
      <c r="B110" s="1109" t="s">
        <v>1212</v>
      </c>
      <c r="C110" s="1110" t="s">
        <v>1213</v>
      </c>
      <c r="D110" s="1106" t="s">
        <v>1046</v>
      </c>
      <c r="E110" s="1107" t="s">
        <v>1047</v>
      </c>
      <c r="H110">
        <v>1</v>
      </c>
      <c r="I110" t="s">
        <v>1046</v>
      </c>
    </row>
    <row r="111" spans="1:9" ht="13.5" thickBot="1" x14ac:dyDescent="0.25">
      <c r="A111" s="1111"/>
      <c r="B111" s="1109" t="s">
        <v>1214</v>
      </c>
      <c r="C111" s="1110" t="s">
        <v>1051</v>
      </c>
      <c r="D111" s="1106" t="s">
        <v>1046</v>
      </c>
      <c r="E111" s="1107" t="s">
        <v>1047</v>
      </c>
      <c r="H111">
        <v>1</v>
      </c>
      <c r="I111" t="s">
        <v>1046</v>
      </c>
    </row>
    <row r="112" spans="1:9" ht="13.5" thickBot="1" x14ac:dyDescent="0.25">
      <c r="A112" s="1108">
        <v>109.23</v>
      </c>
      <c r="B112" s="1109" t="s">
        <v>1215</v>
      </c>
      <c r="C112" s="1110" t="s">
        <v>1216</v>
      </c>
      <c r="D112" s="1106" t="s">
        <v>1046</v>
      </c>
      <c r="E112" s="1107" t="s">
        <v>1047</v>
      </c>
      <c r="H112">
        <v>1</v>
      </c>
      <c r="I112" t="s">
        <v>1046</v>
      </c>
    </row>
    <row r="113" spans="1:9" ht="13.5" thickBot="1" x14ac:dyDescent="0.25">
      <c r="A113" s="1111"/>
      <c r="B113" s="1109" t="s">
        <v>1217</v>
      </c>
      <c r="C113" s="1110" t="s">
        <v>1051</v>
      </c>
      <c r="D113" s="1106" t="s">
        <v>1046</v>
      </c>
      <c r="E113" s="1107" t="s">
        <v>1047</v>
      </c>
      <c r="H113">
        <v>1</v>
      </c>
      <c r="I113" t="s">
        <v>1046</v>
      </c>
    </row>
    <row r="114" spans="1:9" ht="13.5" thickBot="1" x14ac:dyDescent="0.25">
      <c r="A114" s="1104">
        <v>113</v>
      </c>
      <c r="B114" s="1104" t="s">
        <v>1218</v>
      </c>
      <c r="C114" s="1116" t="s">
        <v>1219</v>
      </c>
      <c r="D114" s="1106" t="s">
        <v>1046</v>
      </c>
      <c r="E114" s="1107" t="s">
        <v>1047</v>
      </c>
      <c r="H114">
        <v>1</v>
      </c>
      <c r="I114" t="s">
        <v>1046</v>
      </c>
    </row>
    <row r="115" spans="1:9" ht="13.5" thickBot="1" x14ac:dyDescent="0.25">
      <c r="A115" s="1136">
        <v>113.01</v>
      </c>
      <c r="B115" s="1131" t="s">
        <v>1220</v>
      </c>
      <c r="C115" s="1110" t="s">
        <v>1221</v>
      </c>
      <c r="D115" s="1106" t="s">
        <v>1046</v>
      </c>
      <c r="E115" s="1107" t="s">
        <v>1047</v>
      </c>
      <c r="H115">
        <v>1</v>
      </c>
      <c r="I115" t="s">
        <v>1046</v>
      </c>
    </row>
    <row r="116" spans="1:9" ht="13.5" thickBot="1" x14ac:dyDescent="0.25">
      <c r="A116" s="1111"/>
      <c r="B116" s="1131" t="s">
        <v>1222</v>
      </c>
      <c r="C116" s="1137" t="s">
        <v>1051</v>
      </c>
      <c r="D116" s="1106" t="s">
        <v>1046</v>
      </c>
      <c r="E116" s="1107" t="s">
        <v>1047</v>
      </c>
      <c r="H116">
        <v>1</v>
      </c>
      <c r="I116" t="s">
        <v>1046</v>
      </c>
    </row>
    <row r="117" spans="1:9" ht="13.5" thickBot="1" x14ac:dyDescent="0.25">
      <c r="A117" s="1108">
        <v>113.02</v>
      </c>
      <c r="B117" s="1109" t="s">
        <v>1223</v>
      </c>
      <c r="C117" s="1110" t="s">
        <v>1224</v>
      </c>
      <c r="D117" s="1106" t="s">
        <v>1046</v>
      </c>
      <c r="E117" s="1107" t="s">
        <v>1047</v>
      </c>
      <c r="H117">
        <v>1</v>
      </c>
      <c r="I117" t="s">
        <v>1046</v>
      </c>
    </row>
    <row r="118" spans="1:9" ht="13.5" thickBot="1" x14ac:dyDescent="0.25">
      <c r="A118" s="1111"/>
      <c r="B118" s="1109" t="s">
        <v>1225</v>
      </c>
      <c r="C118" s="1110" t="s">
        <v>1051</v>
      </c>
      <c r="D118" s="1106" t="s">
        <v>1046</v>
      </c>
      <c r="E118" s="1107" t="s">
        <v>1047</v>
      </c>
      <c r="H118">
        <v>1</v>
      </c>
      <c r="I118" t="s">
        <v>1046</v>
      </c>
    </row>
    <row r="119" spans="1:9" ht="13.5" thickBot="1" x14ac:dyDescent="0.25">
      <c r="A119" s="1136">
        <v>113.03</v>
      </c>
      <c r="B119" s="1131" t="s">
        <v>1226</v>
      </c>
      <c r="C119" s="1110" t="s">
        <v>1227</v>
      </c>
      <c r="D119" s="1106" t="s">
        <v>1046</v>
      </c>
      <c r="E119" s="1107" t="s">
        <v>1047</v>
      </c>
      <c r="H119">
        <v>1</v>
      </c>
      <c r="I119" t="s">
        <v>1046</v>
      </c>
    </row>
    <row r="120" spans="1:9" ht="13.5" thickBot="1" x14ac:dyDescent="0.25">
      <c r="A120" s="1111"/>
      <c r="B120" s="1131" t="s">
        <v>1228</v>
      </c>
      <c r="C120" s="1110" t="s">
        <v>1051</v>
      </c>
      <c r="D120" s="1106" t="s">
        <v>1046</v>
      </c>
      <c r="E120" s="1107" t="s">
        <v>1047</v>
      </c>
      <c r="H120">
        <v>1</v>
      </c>
      <c r="I120" t="s">
        <v>1046</v>
      </c>
    </row>
    <row r="121" spans="1:9" ht="13.5" thickBot="1" x14ac:dyDescent="0.25">
      <c r="A121" s="1108">
        <v>113.04</v>
      </c>
      <c r="B121" s="1109" t="s">
        <v>1229</v>
      </c>
      <c r="C121" s="1110" t="s">
        <v>1230</v>
      </c>
      <c r="D121" s="1106" t="s">
        <v>1046</v>
      </c>
      <c r="E121" s="1107" t="s">
        <v>1047</v>
      </c>
      <c r="H121">
        <v>1</v>
      </c>
      <c r="I121" t="s">
        <v>1046</v>
      </c>
    </row>
    <row r="122" spans="1:9" ht="13.5" thickBot="1" x14ac:dyDescent="0.25">
      <c r="A122" s="1111"/>
      <c r="B122" s="1109" t="s">
        <v>1231</v>
      </c>
      <c r="C122" s="1110" t="s">
        <v>1051</v>
      </c>
      <c r="D122" s="1106" t="s">
        <v>1046</v>
      </c>
      <c r="E122" s="1107" t="s">
        <v>1047</v>
      </c>
      <c r="H122">
        <v>1</v>
      </c>
      <c r="I122" t="s">
        <v>1046</v>
      </c>
    </row>
    <row r="123" spans="1:9" ht="13.5" thickBot="1" x14ac:dyDescent="0.25">
      <c r="A123" s="1136">
        <v>113.05</v>
      </c>
      <c r="B123" s="1131" t="s">
        <v>1232</v>
      </c>
      <c r="C123" s="1110" t="s">
        <v>1233</v>
      </c>
      <c r="D123" s="1106" t="s">
        <v>1046</v>
      </c>
      <c r="E123" s="1107" t="s">
        <v>1047</v>
      </c>
      <c r="H123">
        <v>1</v>
      </c>
      <c r="I123" t="s">
        <v>1046</v>
      </c>
    </row>
    <row r="124" spans="1:9" ht="13.5" thickBot="1" x14ac:dyDescent="0.25">
      <c r="A124" s="1111"/>
      <c r="B124" s="1131" t="s">
        <v>1234</v>
      </c>
      <c r="C124" s="1110" t="s">
        <v>1051</v>
      </c>
      <c r="D124" s="1106" t="s">
        <v>1046</v>
      </c>
      <c r="E124" s="1107" t="s">
        <v>1047</v>
      </c>
      <c r="H124">
        <v>1</v>
      </c>
      <c r="I124" t="s">
        <v>1046</v>
      </c>
    </row>
    <row r="125" spans="1:9" ht="13.5" thickBot="1" x14ac:dyDescent="0.25">
      <c r="A125" s="1108">
        <v>113.06</v>
      </c>
      <c r="B125" s="1109" t="s">
        <v>1235</v>
      </c>
      <c r="C125" s="1110" t="s">
        <v>1236</v>
      </c>
      <c r="D125" s="1106" t="s">
        <v>1046</v>
      </c>
      <c r="E125" s="1107" t="s">
        <v>1047</v>
      </c>
      <c r="H125">
        <v>1</v>
      </c>
      <c r="I125" t="s">
        <v>1046</v>
      </c>
    </row>
    <row r="126" spans="1:9" ht="13.5" thickBot="1" x14ac:dyDescent="0.25">
      <c r="A126" s="1111"/>
      <c r="B126" s="1109" t="s">
        <v>1237</v>
      </c>
      <c r="C126" s="1110" t="s">
        <v>1051</v>
      </c>
      <c r="D126" s="1106" t="s">
        <v>1046</v>
      </c>
      <c r="E126" s="1107" t="s">
        <v>1047</v>
      </c>
      <c r="H126">
        <v>1</v>
      </c>
      <c r="I126" t="s">
        <v>1046</v>
      </c>
    </row>
    <row r="127" spans="1:9" ht="13.5" thickBot="1" x14ac:dyDescent="0.25">
      <c r="A127" s="1136">
        <v>113.07</v>
      </c>
      <c r="B127" s="1109" t="s">
        <v>1238</v>
      </c>
      <c r="C127" s="1110" t="s">
        <v>1239</v>
      </c>
      <c r="D127" s="1106" t="s">
        <v>1046</v>
      </c>
      <c r="E127" s="1107" t="s">
        <v>1047</v>
      </c>
      <c r="H127">
        <v>1</v>
      </c>
      <c r="I127" t="s">
        <v>1046</v>
      </c>
    </row>
    <row r="128" spans="1:9" ht="13.5" thickBot="1" x14ac:dyDescent="0.25">
      <c r="A128" s="1111"/>
      <c r="B128" s="1109" t="s">
        <v>1240</v>
      </c>
      <c r="C128" s="1110" t="s">
        <v>1051</v>
      </c>
      <c r="D128" s="1106" t="s">
        <v>1046</v>
      </c>
      <c r="E128" s="1107" t="s">
        <v>1047</v>
      </c>
      <c r="H128">
        <v>1</v>
      </c>
      <c r="I128" t="s">
        <v>1046</v>
      </c>
    </row>
    <row r="129" spans="1:9" ht="13.5" thickBot="1" x14ac:dyDescent="0.25">
      <c r="A129" s="1108">
        <v>113.08</v>
      </c>
      <c r="B129" s="1109" t="s">
        <v>1241</v>
      </c>
      <c r="C129" s="1110" t="s">
        <v>1242</v>
      </c>
      <c r="D129" s="1106" t="s">
        <v>1046</v>
      </c>
      <c r="E129" s="1107" t="s">
        <v>1047</v>
      </c>
      <c r="H129">
        <v>1</v>
      </c>
      <c r="I129" t="s">
        <v>1046</v>
      </c>
    </row>
    <row r="130" spans="1:9" ht="13.5" thickBot="1" x14ac:dyDescent="0.25">
      <c r="A130" s="1111"/>
      <c r="B130" s="1109" t="s">
        <v>1243</v>
      </c>
      <c r="C130" s="1110" t="s">
        <v>1051</v>
      </c>
      <c r="D130" s="1106" t="s">
        <v>1046</v>
      </c>
      <c r="E130" s="1107" t="s">
        <v>1047</v>
      </c>
      <c r="H130">
        <v>1</v>
      </c>
      <c r="I130" t="s">
        <v>1046</v>
      </c>
    </row>
    <row r="131" spans="1:9" ht="13.5" thickBot="1" x14ac:dyDescent="0.25">
      <c r="A131" s="1104">
        <v>114</v>
      </c>
      <c r="B131" s="1104" t="s">
        <v>1244</v>
      </c>
      <c r="C131" s="1116" t="s">
        <v>1245</v>
      </c>
      <c r="D131" s="1106" t="s">
        <v>1046</v>
      </c>
      <c r="E131" s="1107" t="s">
        <v>1047</v>
      </c>
      <c r="H131">
        <v>1</v>
      </c>
      <c r="I131" t="s">
        <v>1046</v>
      </c>
    </row>
    <row r="132" spans="1:9" ht="13.5" thickBot="1" x14ac:dyDescent="0.25">
      <c r="A132" s="1108">
        <v>114.01</v>
      </c>
      <c r="B132" s="1109" t="s">
        <v>1246</v>
      </c>
      <c r="C132" s="1110" t="s">
        <v>1247</v>
      </c>
      <c r="D132" s="1106" t="s">
        <v>1046</v>
      </c>
      <c r="E132" s="1107" t="s">
        <v>1047</v>
      </c>
      <c r="H132">
        <v>1</v>
      </c>
      <c r="I132" t="s">
        <v>1046</v>
      </c>
    </row>
    <row r="133" spans="1:9" ht="13.5" thickBot="1" x14ac:dyDescent="0.25">
      <c r="A133" s="1111"/>
      <c r="B133" s="1109" t="s">
        <v>1248</v>
      </c>
      <c r="C133" s="1110" t="s">
        <v>1051</v>
      </c>
      <c r="D133" s="1106" t="s">
        <v>1046</v>
      </c>
      <c r="E133" s="1107" t="s">
        <v>1047</v>
      </c>
      <c r="H133">
        <v>1</v>
      </c>
      <c r="I133" t="s">
        <v>1046</v>
      </c>
    </row>
    <row r="134" spans="1:9" ht="13.5" thickBot="1" x14ac:dyDescent="0.25">
      <c r="A134" s="1108">
        <v>111.01</v>
      </c>
      <c r="B134" s="1109" t="s">
        <v>1249</v>
      </c>
      <c r="C134" s="1110" t="s">
        <v>1250</v>
      </c>
      <c r="D134" s="1106" t="s">
        <v>1046</v>
      </c>
      <c r="E134" s="1107" t="s">
        <v>1047</v>
      </c>
      <c r="H134">
        <v>1</v>
      </c>
      <c r="I134" t="s">
        <v>1046</v>
      </c>
    </row>
    <row r="135" spans="1:9" ht="13.5" thickBot="1" x14ac:dyDescent="0.25">
      <c r="A135" s="1111"/>
      <c r="B135" s="1109" t="s">
        <v>1251</v>
      </c>
      <c r="C135" s="1110" t="s">
        <v>1051</v>
      </c>
      <c r="D135" s="1106" t="s">
        <v>1046</v>
      </c>
      <c r="E135" s="1107" t="s">
        <v>1047</v>
      </c>
      <c r="H135">
        <v>1</v>
      </c>
      <c r="I135" t="s">
        <v>1046</v>
      </c>
    </row>
    <row r="136" spans="1:9" ht="13.5" thickBot="1" x14ac:dyDescent="0.25">
      <c r="A136" s="1108">
        <v>112.01</v>
      </c>
      <c r="B136" s="1109" t="s">
        <v>1252</v>
      </c>
      <c r="C136" s="1110" t="s">
        <v>1253</v>
      </c>
      <c r="D136" s="1106" t="s">
        <v>1046</v>
      </c>
      <c r="E136" s="1107" t="s">
        <v>1047</v>
      </c>
      <c r="H136">
        <v>1</v>
      </c>
      <c r="I136" t="s">
        <v>1046</v>
      </c>
    </row>
    <row r="137" spans="1:9" ht="13.5" thickBot="1" x14ac:dyDescent="0.25">
      <c r="A137" s="1111"/>
      <c r="B137" s="1109" t="s">
        <v>1254</v>
      </c>
      <c r="C137" s="1110" t="s">
        <v>1051</v>
      </c>
      <c r="D137" s="1106" t="s">
        <v>1046</v>
      </c>
      <c r="E137" s="1107" t="s">
        <v>1047</v>
      </c>
      <c r="H137">
        <v>1</v>
      </c>
      <c r="I137" t="s">
        <v>1046</v>
      </c>
    </row>
    <row r="138" spans="1:9" ht="13.5" thickBot="1" x14ac:dyDescent="0.25">
      <c r="A138" s="1104">
        <v>115</v>
      </c>
      <c r="B138" s="1104" t="s">
        <v>1255</v>
      </c>
      <c r="C138" s="1116" t="s">
        <v>1256</v>
      </c>
      <c r="D138" s="1106" t="s">
        <v>1046</v>
      </c>
      <c r="E138" s="1107" t="s">
        <v>1047</v>
      </c>
      <c r="H138">
        <v>1</v>
      </c>
      <c r="I138" t="s">
        <v>1046</v>
      </c>
    </row>
    <row r="139" spans="1:9" ht="13.5" thickBot="1" x14ac:dyDescent="0.25">
      <c r="A139" s="1108">
        <v>115.01</v>
      </c>
      <c r="B139" s="1109" t="s">
        <v>1257</v>
      </c>
      <c r="C139" s="1110" t="s">
        <v>260</v>
      </c>
      <c r="D139" s="1106" t="s">
        <v>1046</v>
      </c>
      <c r="E139" s="1107" t="s">
        <v>1047</v>
      </c>
      <c r="H139">
        <v>1</v>
      </c>
      <c r="I139" t="s">
        <v>1046</v>
      </c>
    </row>
    <row r="140" spans="1:9" ht="13.5" thickBot="1" x14ac:dyDescent="0.25">
      <c r="A140" s="1111"/>
      <c r="B140" s="1131" t="s">
        <v>1258</v>
      </c>
      <c r="C140" s="1110" t="s">
        <v>1051</v>
      </c>
      <c r="D140" s="1106" t="s">
        <v>1046</v>
      </c>
      <c r="E140" s="1107" t="s">
        <v>1047</v>
      </c>
      <c r="H140">
        <v>1</v>
      </c>
      <c r="I140" t="s">
        <v>1046</v>
      </c>
    </row>
    <row r="141" spans="1:9" ht="13.5" thickBot="1" x14ac:dyDescent="0.25">
      <c r="A141" s="1136">
        <v>115.02</v>
      </c>
      <c r="B141" s="1131" t="s">
        <v>1259</v>
      </c>
      <c r="C141" s="1110" t="s">
        <v>1260</v>
      </c>
      <c r="D141" s="1106" t="s">
        <v>1046</v>
      </c>
      <c r="E141" s="1107" t="s">
        <v>1047</v>
      </c>
      <c r="H141">
        <v>1</v>
      </c>
      <c r="I141" t="s">
        <v>1046</v>
      </c>
    </row>
    <row r="142" spans="1:9" ht="13.5" thickBot="1" x14ac:dyDescent="0.25">
      <c r="A142" s="1111"/>
      <c r="B142" s="1131" t="s">
        <v>1261</v>
      </c>
      <c r="C142" s="1110" t="s">
        <v>1051</v>
      </c>
      <c r="D142" s="1106" t="s">
        <v>1046</v>
      </c>
      <c r="E142" s="1107" t="s">
        <v>1047</v>
      </c>
      <c r="H142">
        <v>1</v>
      </c>
      <c r="I142" t="s">
        <v>1046</v>
      </c>
    </row>
    <row r="143" spans="1:9" ht="13.5" thickBot="1" x14ac:dyDescent="0.25">
      <c r="A143" s="1108">
        <v>115.03</v>
      </c>
      <c r="B143" s="1109" t="s">
        <v>1262</v>
      </c>
      <c r="C143" s="1110" t="s">
        <v>1263</v>
      </c>
      <c r="D143" s="1106" t="s">
        <v>1046</v>
      </c>
      <c r="E143" s="1107" t="s">
        <v>1047</v>
      </c>
      <c r="H143">
        <v>1</v>
      </c>
      <c r="I143" t="s">
        <v>1046</v>
      </c>
    </row>
    <row r="144" spans="1:9" ht="13.5" thickBot="1" x14ac:dyDescent="0.25">
      <c r="A144" s="1111"/>
      <c r="B144" s="1109" t="s">
        <v>1264</v>
      </c>
      <c r="C144" s="1110" t="s">
        <v>1051</v>
      </c>
      <c r="D144" s="1106" t="s">
        <v>1046</v>
      </c>
      <c r="E144" s="1107" t="s">
        <v>1047</v>
      </c>
      <c r="H144">
        <v>1</v>
      </c>
      <c r="I144" t="s">
        <v>1046</v>
      </c>
    </row>
    <row r="145" spans="1:9" ht="13.5" thickBot="1" x14ac:dyDescent="0.25">
      <c r="A145" s="1136">
        <v>115.04</v>
      </c>
      <c r="B145" s="1131" t="s">
        <v>1265</v>
      </c>
      <c r="C145" s="1110" t="s">
        <v>1266</v>
      </c>
      <c r="D145" s="1106" t="s">
        <v>1046</v>
      </c>
      <c r="E145" s="1107" t="s">
        <v>1047</v>
      </c>
      <c r="H145">
        <v>1</v>
      </c>
      <c r="I145" t="s">
        <v>1046</v>
      </c>
    </row>
    <row r="146" spans="1:9" ht="13.5" thickBot="1" x14ac:dyDescent="0.25">
      <c r="A146" s="1111"/>
      <c r="B146" s="1131" t="s">
        <v>1267</v>
      </c>
      <c r="C146" s="1110" t="s">
        <v>1051</v>
      </c>
      <c r="D146" s="1106" t="s">
        <v>1046</v>
      </c>
      <c r="E146" s="1107" t="s">
        <v>1047</v>
      </c>
      <c r="H146">
        <v>1</v>
      </c>
      <c r="I146" t="s">
        <v>1046</v>
      </c>
    </row>
    <row r="147" spans="1:9" ht="13.5" thickBot="1" x14ac:dyDescent="0.25">
      <c r="A147" s="1136">
        <v>115.05</v>
      </c>
      <c r="B147" s="1131" t="s">
        <v>1268</v>
      </c>
      <c r="C147" s="1110" t="s">
        <v>1269</v>
      </c>
      <c r="D147" s="1106" t="s">
        <v>1046</v>
      </c>
      <c r="E147" s="1107" t="s">
        <v>1047</v>
      </c>
      <c r="H147">
        <v>1</v>
      </c>
      <c r="I147" t="s">
        <v>1046</v>
      </c>
    </row>
    <row r="148" spans="1:9" ht="13.5" thickBot="1" x14ac:dyDescent="0.25">
      <c r="A148" s="1111"/>
      <c r="B148" s="1131" t="s">
        <v>1270</v>
      </c>
      <c r="C148" s="1110" t="s">
        <v>1051</v>
      </c>
      <c r="D148" s="1106" t="s">
        <v>1046</v>
      </c>
      <c r="E148" s="1107" t="s">
        <v>1047</v>
      </c>
      <c r="H148">
        <v>1</v>
      </c>
      <c r="I148" t="s">
        <v>1046</v>
      </c>
    </row>
    <row r="149" spans="1:9" ht="13.5" thickBot="1" x14ac:dyDescent="0.25">
      <c r="A149" s="1108">
        <v>115.06</v>
      </c>
      <c r="B149" s="1109" t="s">
        <v>1271</v>
      </c>
      <c r="C149" s="1110" t="s">
        <v>1272</v>
      </c>
      <c r="D149" s="1106" t="s">
        <v>1046</v>
      </c>
      <c r="E149" s="1107" t="s">
        <v>1047</v>
      </c>
      <c r="H149">
        <v>1</v>
      </c>
      <c r="I149" t="s">
        <v>1046</v>
      </c>
    </row>
    <row r="150" spans="1:9" ht="13.5" thickBot="1" x14ac:dyDescent="0.25">
      <c r="A150" s="1111"/>
      <c r="B150" s="1109" t="s">
        <v>1273</v>
      </c>
      <c r="C150" s="1110" t="s">
        <v>1051</v>
      </c>
      <c r="D150" s="1106" t="s">
        <v>1046</v>
      </c>
      <c r="E150" s="1107" t="s">
        <v>1047</v>
      </c>
      <c r="H150">
        <v>1</v>
      </c>
      <c r="I150" t="s">
        <v>1046</v>
      </c>
    </row>
    <row r="151" spans="1:9" ht="13.5" thickBot="1" x14ac:dyDescent="0.25">
      <c r="A151" s="1136">
        <v>115.07</v>
      </c>
      <c r="B151" s="1131" t="s">
        <v>1274</v>
      </c>
      <c r="C151" s="1110" t="s">
        <v>1275</v>
      </c>
      <c r="D151" s="1106" t="s">
        <v>1046</v>
      </c>
      <c r="E151" s="1107" t="s">
        <v>1047</v>
      </c>
      <c r="H151">
        <v>1</v>
      </c>
      <c r="I151" t="s">
        <v>1046</v>
      </c>
    </row>
    <row r="152" spans="1:9" ht="13.5" thickBot="1" x14ac:dyDescent="0.25">
      <c r="A152" s="1111"/>
      <c r="B152" s="1131" t="s">
        <v>1276</v>
      </c>
      <c r="C152" s="1110" t="s">
        <v>1051</v>
      </c>
      <c r="D152" s="1106" t="s">
        <v>1046</v>
      </c>
      <c r="E152" s="1107" t="s">
        <v>1047</v>
      </c>
      <c r="H152">
        <v>1</v>
      </c>
      <c r="I152" t="s">
        <v>1046</v>
      </c>
    </row>
    <row r="153" spans="1:9" ht="23.25" thickBot="1" x14ac:dyDescent="0.25">
      <c r="A153" s="1104">
        <v>116</v>
      </c>
      <c r="B153" s="1104" t="s">
        <v>1277</v>
      </c>
      <c r="C153" s="1116" t="s">
        <v>1278</v>
      </c>
      <c r="D153" s="1106" t="s">
        <v>1046</v>
      </c>
      <c r="E153" s="1107" t="s">
        <v>1210</v>
      </c>
      <c r="H153">
        <v>1</v>
      </c>
      <c r="I153" t="s">
        <v>1046</v>
      </c>
    </row>
    <row r="154" spans="1:9" ht="13.5" thickBot="1" x14ac:dyDescent="0.25">
      <c r="A154" s="1108">
        <v>116.01</v>
      </c>
      <c r="B154" s="1109" t="s">
        <v>1279</v>
      </c>
      <c r="C154" s="1110" t="s">
        <v>1278</v>
      </c>
      <c r="D154" s="1106" t="s">
        <v>1046</v>
      </c>
      <c r="E154" s="1107" t="s">
        <v>1210</v>
      </c>
      <c r="H154">
        <v>1</v>
      </c>
      <c r="I154" t="s">
        <v>1046</v>
      </c>
    </row>
    <row r="155" spans="1:9" ht="13.5" thickBot="1" x14ac:dyDescent="0.25">
      <c r="A155" s="1111"/>
      <c r="B155" s="1109" t="s">
        <v>1280</v>
      </c>
      <c r="C155" s="1110" t="s">
        <v>1051</v>
      </c>
      <c r="D155" s="1106" t="s">
        <v>1046</v>
      </c>
      <c r="E155" s="1107" t="s">
        <v>1210</v>
      </c>
      <c r="H155">
        <v>1</v>
      </c>
      <c r="I155" t="s">
        <v>1046</v>
      </c>
    </row>
    <row r="156" spans="1:9" ht="13.5" thickBot="1" x14ac:dyDescent="0.25">
      <c r="A156" s="1104">
        <v>117</v>
      </c>
      <c r="B156" s="1104" t="s">
        <v>1281</v>
      </c>
      <c r="C156" s="1116" t="s">
        <v>1282</v>
      </c>
      <c r="D156" s="1106" t="s">
        <v>1046</v>
      </c>
      <c r="E156" s="1107" t="s">
        <v>1047</v>
      </c>
      <c r="H156">
        <v>1</v>
      </c>
      <c r="I156" t="s">
        <v>1046</v>
      </c>
    </row>
    <row r="157" spans="1:9" ht="13.5" thickBot="1" x14ac:dyDescent="0.25">
      <c r="A157" s="1108">
        <v>117.01</v>
      </c>
      <c r="B157" s="1109" t="s">
        <v>1283</v>
      </c>
      <c r="C157" s="1110" t="s">
        <v>1282</v>
      </c>
      <c r="D157" s="1106" t="s">
        <v>1046</v>
      </c>
      <c r="E157" s="1107" t="s">
        <v>1047</v>
      </c>
      <c r="H157">
        <v>1</v>
      </c>
      <c r="I157" t="s">
        <v>1046</v>
      </c>
    </row>
    <row r="158" spans="1:9" ht="13.5" thickBot="1" x14ac:dyDescent="0.25">
      <c r="A158" s="1111"/>
      <c r="B158" s="1109" t="s">
        <v>1284</v>
      </c>
      <c r="C158" s="1110" t="s">
        <v>1051</v>
      </c>
      <c r="D158" s="1106" t="s">
        <v>1046</v>
      </c>
      <c r="E158" s="1107" t="s">
        <v>1047</v>
      </c>
      <c r="H158">
        <v>1</v>
      </c>
      <c r="I158" t="s">
        <v>1046</v>
      </c>
    </row>
    <row r="159" spans="1:9" ht="13.5" thickBot="1" x14ac:dyDescent="0.25">
      <c r="A159" s="1104">
        <v>118</v>
      </c>
      <c r="B159" s="1104" t="s">
        <v>1285</v>
      </c>
      <c r="C159" s="1116" t="s">
        <v>1286</v>
      </c>
      <c r="D159" s="1106" t="s">
        <v>1046</v>
      </c>
      <c r="E159" s="1107" t="s">
        <v>1047</v>
      </c>
      <c r="H159">
        <v>1</v>
      </c>
      <c r="I159" t="s">
        <v>1046</v>
      </c>
    </row>
    <row r="160" spans="1:9" ht="13.5" thickBot="1" x14ac:dyDescent="0.25">
      <c r="A160" s="1108">
        <v>118.01</v>
      </c>
      <c r="B160" s="1109" t="s">
        <v>1287</v>
      </c>
      <c r="C160" s="1110" t="s">
        <v>1288</v>
      </c>
      <c r="D160" s="1106" t="s">
        <v>1046</v>
      </c>
      <c r="E160" s="1107" t="s">
        <v>1047</v>
      </c>
      <c r="H160">
        <v>1</v>
      </c>
      <c r="I160" t="s">
        <v>1046</v>
      </c>
    </row>
    <row r="161" spans="1:9" ht="13.5" thickBot="1" x14ac:dyDescent="0.25">
      <c r="A161" s="1111"/>
      <c r="B161" s="1109" t="s">
        <v>1289</v>
      </c>
      <c r="C161" s="1138" t="s">
        <v>1290</v>
      </c>
      <c r="D161" s="1106" t="s">
        <v>1046</v>
      </c>
      <c r="E161" s="1107" t="s">
        <v>1047</v>
      </c>
      <c r="H161">
        <v>1</v>
      </c>
      <c r="I161" t="s">
        <v>1046</v>
      </c>
    </row>
    <row r="162" spans="1:9" ht="13.5" thickBot="1" x14ac:dyDescent="0.25">
      <c r="A162" s="1111"/>
      <c r="B162" s="1109" t="s">
        <v>1291</v>
      </c>
      <c r="C162" s="1117" t="s">
        <v>1292</v>
      </c>
      <c r="D162" s="1106" t="s">
        <v>1046</v>
      </c>
      <c r="E162" s="1107" t="s">
        <v>1047</v>
      </c>
      <c r="H162">
        <v>1</v>
      </c>
      <c r="I162" t="s">
        <v>1046</v>
      </c>
    </row>
    <row r="163" spans="1:9" ht="13.5" thickBot="1" x14ac:dyDescent="0.25">
      <c r="A163" s="1111"/>
      <c r="B163" s="1109" t="s">
        <v>1293</v>
      </c>
      <c r="C163" s="1138" t="s">
        <v>1294</v>
      </c>
      <c r="D163" s="1106" t="s">
        <v>1046</v>
      </c>
      <c r="E163" s="1107" t="s">
        <v>1047</v>
      </c>
      <c r="H163">
        <v>1</v>
      </c>
      <c r="I163" t="s">
        <v>1046</v>
      </c>
    </row>
    <row r="164" spans="1:9" ht="13.5" thickBot="1" x14ac:dyDescent="0.25">
      <c r="A164" s="1111"/>
      <c r="B164" s="1109" t="s">
        <v>1295</v>
      </c>
      <c r="C164" s="1138" t="s">
        <v>1296</v>
      </c>
      <c r="D164" s="1106" t="s">
        <v>1046</v>
      </c>
      <c r="E164" s="1107" t="s">
        <v>1047</v>
      </c>
      <c r="H164">
        <v>1</v>
      </c>
      <c r="I164" t="s">
        <v>1046</v>
      </c>
    </row>
    <row r="165" spans="1:9" ht="13.5" thickBot="1" x14ac:dyDescent="0.25">
      <c r="A165" s="1108">
        <v>118.02</v>
      </c>
      <c r="B165" s="1109" t="s">
        <v>1297</v>
      </c>
      <c r="C165" s="1110" t="s">
        <v>1298</v>
      </c>
      <c r="D165" s="1106" t="s">
        <v>1046</v>
      </c>
      <c r="E165" s="1107" t="s">
        <v>1047</v>
      </c>
      <c r="H165">
        <v>1</v>
      </c>
      <c r="I165" t="s">
        <v>1046</v>
      </c>
    </row>
    <row r="166" spans="1:9" ht="13.5" thickBot="1" x14ac:dyDescent="0.25">
      <c r="A166" s="1111"/>
      <c r="B166" s="1109" t="s">
        <v>1299</v>
      </c>
      <c r="C166" s="1138" t="s">
        <v>1300</v>
      </c>
      <c r="D166" s="1106" t="s">
        <v>1046</v>
      </c>
      <c r="E166" s="1107" t="s">
        <v>1047</v>
      </c>
      <c r="H166">
        <v>1</v>
      </c>
      <c r="I166" t="s">
        <v>1046</v>
      </c>
    </row>
    <row r="167" spans="1:9" ht="23.25" thickBot="1" x14ac:dyDescent="0.25">
      <c r="A167" s="1111"/>
      <c r="B167" s="1109" t="s">
        <v>1301</v>
      </c>
      <c r="C167" s="1117" t="s">
        <v>1302</v>
      </c>
      <c r="D167" s="1106" t="s">
        <v>1046</v>
      </c>
      <c r="E167" s="1107" t="s">
        <v>1047</v>
      </c>
      <c r="H167">
        <v>1</v>
      </c>
      <c r="I167" t="s">
        <v>1046</v>
      </c>
    </row>
    <row r="168" spans="1:9" ht="23.25" thickBot="1" x14ac:dyDescent="0.25">
      <c r="A168" s="1111"/>
      <c r="B168" s="1109" t="s">
        <v>1303</v>
      </c>
      <c r="C168" s="1138" t="s">
        <v>1304</v>
      </c>
      <c r="D168" s="1106" t="s">
        <v>1046</v>
      </c>
      <c r="E168" s="1107" t="s">
        <v>1047</v>
      </c>
      <c r="H168">
        <v>1</v>
      </c>
      <c r="I168" t="s">
        <v>1046</v>
      </c>
    </row>
    <row r="169" spans="1:9" ht="23.25" thickBot="1" x14ac:dyDescent="0.25">
      <c r="A169" s="1111"/>
      <c r="B169" s="1109" t="s">
        <v>1305</v>
      </c>
      <c r="C169" s="1138" t="s">
        <v>1306</v>
      </c>
      <c r="D169" s="1106" t="s">
        <v>1046</v>
      </c>
      <c r="E169" s="1107" t="s">
        <v>1047</v>
      </c>
      <c r="H169">
        <v>1</v>
      </c>
      <c r="I169" t="s">
        <v>1046</v>
      </c>
    </row>
    <row r="170" spans="1:9" ht="13.5" thickBot="1" x14ac:dyDescent="0.25">
      <c r="A170" s="1111"/>
      <c r="B170" s="1109" t="s">
        <v>1307</v>
      </c>
      <c r="C170" s="1138" t="s">
        <v>1308</v>
      </c>
      <c r="D170" s="1106" t="s">
        <v>1046</v>
      </c>
      <c r="E170" s="1107" t="s">
        <v>1047</v>
      </c>
      <c r="H170">
        <v>1</v>
      </c>
      <c r="I170" t="s">
        <v>1046</v>
      </c>
    </row>
    <row r="171" spans="1:9" ht="13.5" thickBot="1" x14ac:dyDescent="0.25">
      <c r="A171" s="1108">
        <v>118.03</v>
      </c>
      <c r="B171" s="1109" t="s">
        <v>1309</v>
      </c>
      <c r="C171" s="1110" t="s">
        <v>1310</v>
      </c>
      <c r="D171" s="1106" t="s">
        <v>1046</v>
      </c>
      <c r="E171" s="1107" t="s">
        <v>1047</v>
      </c>
      <c r="H171">
        <v>1</v>
      </c>
      <c r="I171" t="s">
        <v>1046</v>
      </c>
    </row>
    <row r="172" spans="1:9" ht="13.5" thickBot="1" x14ac:dyDescent="0.25">
      <c r="A172" s="1111"/>
      <c r="B172" s="1109" t="s">
        <v>1311</v>
      </c>
      <c r="C172" s="1110" t="s">
        <v>1051</v>
      </c>
      <c r="D172" s="1106" t="s">
        <v>1046</v>
      </c>
      <c r="E172" s="1107" t="s">
        <v>1047</v>
      </c>
      <c r="H172">
        <v>1</v>
      </c>
      <c r="I172" t="s">
        <v>1046</v>
      </c>
    </row>
    <row r="173" spans="1:9" ht="13.5" thickBot="1" x14ac:dyDescent="0.25">
      <c r="A173" s="1108">
        <v>118.04</v>
      </c>
      <c r="B173" s="1109" t="s">
        <v>1312</v>
      </c>
      <c r="C173" s="1110" t="s">
        <v>1313</v>
      </c>
      <c r="D173" s="1106" t="s">
        <v>1046</v>
      </c>
      <c r="E173" s="1107" t="s">
        <v>1047</v>
      </c>
      <c r="H173">
        <v>1</v>
      </c>
      <c r="I173" t="s">
        <v>1046</v>
      </c>
    </row>
    <row r="174" spans="1:9" ht="13.5" thickBot="1" x14ac:dyDescent="0.25">
      <c r="A174" s="1111"/>
      <c r="B174" s="1109" t="s">
        <v>1314</v>
      </c>
      <c r="C174" s="1110" t="s">
        <v>1051</v>
      </c>
      <c r="D174" s="1106" t="s">
        <v>1046</v>
      </c>
      <c r="E174" s="1107" t="s">
        <v>1047</v>
      </c>
      <c r="H174">
        <v>1</v>
      </c>
      <c r="I174" t="s">
        <v>1046</v>
      </c>
    </row>
    <row r="175" spans="1:9" ht="13.5" thickBot="1" x14ac:dyDescent="0.25">
      <c r="A175" s="1104">
        <v>119</v>
      </c>
      <c r="B175" s="1104" t="s">
        <v>1315</v>
      </c>
      <c r="C175" s="1116" t="s">
        <v>1316</v>
      </c>
      <c r="D175" s="1106" t="s">
        <v>1046</v>
      </c>
      <c r="E175" s="1107" t="s">
        <v>1047</v>
      </c>
      <c r="H175">
        <v>1</v>
      </c>
      <c r="I175" t="s">
        <v>1046</v>
      </c>
    </row>
    <row r="176" spans="1:9" ht="13.5" thickBot="1" x14ac:dyDescent="0.25">
      <c r="A176" s="1108">
        <v>119.01</v>
      </c>
      <c r="B176" s="1109" t="s">
        <v>1317</v>
      </c>
      <c r="C176" s="1110" t="s">
        <v>1318</v>
      </c>
      <c r="D176" s="1106" t="s">
        <v>1046</v>
      </c>
      <c r="E176" s="1107" t="s">
        <v>1047</v>
      </c>
      <c r="H176">
        <v>1</v>
      </c>
      <c r="I176" t="s">
        <v>1046</v>
      </c>
    </row>
    <row r="177" spans="1:9" ht="13.5" thickBot="1" x14ac:dyDescent="0.25">
      <c r="A177" s="1108"/>
      <c r="B177" s="1109" t="s">
        <v>1319</v>
      </c>
      <c r="C177" s="1138" t="s">
        <v>1320</v>
      </c>
      <c r="D177" s="1106" t="s">
        <v>1046</v>
      </c>
      <c r="E177" s="1107" t="s">
        <v>1047</v>
      </c>
      <c r="H177">
        <v>1</v>
      </c>
      <c r="I177" t="s">
        <v>1046</v>
      </c>
    </row>
    <row r="178" spans="1:9" ht="13.5" thickBot="1" x14ac:dyDescent="0.25">
      <c r="A178" s="1108"/>
      <c r="B178" s="1109" t="s">
        <v>1321</v>
      </c>
      <c r="C178" s="1117" t="s">
        <v>1322</v>
      </c>
      <c r="D178" s="1106" t="s">
        <v>1046</v>
      </c>
      <c r="E178" s="1107" t="s">
        <v>1047</v>
      </c>
      <c r="H178">
        <v>1</v>
      </c>
      <c r="I178" t="s">
        <v>1046</v>
      </c>
    </row>
    <row r="179" spans="1:9" ht="13.5" thickBot="1" x14ac:dyDescent="0.25">
      <c r="A179" s="1108"/>
      <c r="B179" s="1109" t="s">
        <v>1323</v>
      </c>
      <c r="C179" s="1138" t="s">
        <v>1324</v>
      </c>
      <c r="D179" s="1106" t="s">
        <v>1046</v>
      </c>
      <c r="E179" s="1107" t="s">
        <v>1047</v>
      </c>
      <c r="H179">
        <v>1</v>
      </c>
      <c r="I179" t="s">
        <v>1046</v>
      </c>
    </row>
    <row r="180" spans="1:9" ht="13.5" thickBot="1" x14ac:dyDescent="0.25">
      <c r="A180" s="1108"/>
      <c r="B180" s="1109" t="s">
        <v>1325</v>
      </c>
      <c r="C180" s="1138" t="s">
        <v>1326</v>
      </c>
      <c r="D180" s="1106" t="s">
        <v>1046</v>
      </c>
      <c r="E180" s="1107" t="s">
        <v>1047</v>
      </c>
      <c r="H180">
        <v>1</v>
      </c>
      <c r="I180" t="s">
        <v>1046</v>
      </c>
    </row>
    <row r="181" spans="1:9" ht="13.5" thickBot="1" x14ac:dyDescent="0.25">
      <c r="A181" s="1108">
        <v>119.02</v>
      </c>
      <c r="B181" s="1109" t="s">
        <v>1327</v>
      </c>
      <c r="C181" s="1110" t="s">
        <v>1328</v>
      </c>
      <c r="D181" s="1106" t="s">
        <v>1046</v>
      </c>
      <c r="E181" s="1107" t="s">
        <v>1047</v>
      </c>
      <c r="H181">
        <v>1</v>
      </c>
      <c r="I181" t="s">
        <v>1046</v>
      </c>
    </row>
    <row r="182" spans="1:9" ht="13.5" thickBot="1" x14ac:dyDescent="0.25">
      <c r="A182" s="1108">
        <v>119.03</v>
      </c>
      <c r="B182" s="1109" t="s">
        <v>1329</v>
      </c>
      <c r="C182" s="1110" t="s">
        <v>1330</v>
      </c>
      <c r="D182" s="1106" t="s">
        <v>1046</v>
      </c>
      <c r="E182" s="1107" t="s">
        <v>1047</v>
      </c>
      <c r="H182">
        <v>1</v>
      </c>
      <c r="I182" t="s">
        <v>1046</v>
      </c>
    </row>
    <row r="183" spans="1:9" ht="13.5" thickBot="1" x14ac:dyDescent="0.25">
      <c r="A183" s="1111"/>
      <c r="B183" s="1109" t="s">
        <v>1331</v>
      </c>
      <c r="C183" s="1110" t="s">
        <v>1051</v>
      </c>
      <c r="D183" s="1106" t="s">
        <v>1046</v>
      </c>
      <c r="E183" s="1107" t="s">
        <v>1047</v>
      </c>
      <c r="H183">
        <v>1</v>
      </c>
      <c r="I183" t="s">
        <v>1046</v>
      </c>
    </row>
    <row r="184" spans="1:9" ht="13.5" thickBot="1" x14ac:dyDescent="0.25">
      <c r="A184" s="1108">
        <v>119.04</v>
      </c>
      <c r="B184" s="1109" t="s">
        <v>1332</v>
      </c>
      <c r="C184" s="1110" t="s">
        <v>1333</v>
      </c>
      <c r="D184" s="1106" t="s">
        <v>1046</v>
      </c>
      <c r="E184" s="1107" t="s">
        <v>1047</v>
      </c>
      <c r="H184">
        <v>1</v>
      </c>
      <c r="I184" t="s">
        <v>1046</v>
      </c>
    </row>
    <row r="185" spans="1:9" ht="13.5" thickBot="1" x14ac:dyDescent="0.25">
      <c r="A185" s="1111"/>
      <c r="B185" s="1109" t="s">
        <v>1334</v>
      </c>
      <c r="C185" s="1110" t="s">
        <v>1051</v>
      </c>
      <c r="D185" s="1106" t="s">
        <v>1046</v>
      </c>
      <c r="E185" s="1107" t="s">
        <v>1047</v>
      </c>
      <c r="H185">
        <v>1</v>
      </c>
      <c r="I185" t="s">
        <v>1046</v>
      </c>
    </row>
    <row r="186" spans="1:9" ht="13.5" thickBot="1" x14ac:dyDescent="0.25">
      <c r="A186" s="1104">
        <v>120</v>
      </c>
      <c r="B186" s="1104" t="s">
        <v>1335</v>
      </c>
      <c r="C186" s="1116" t="s">
        <v>1336</v>
      </c>
      <c r="D186" s="1106" t="s">
        <v>1046</v>
      </c>
      <c r="E186" s="1107" t="s">
        <v>1047</v>
      </c>
      <c r="H186">
        <v>1</v>
      </c>
      <c r="I186" t="s">
        <v>1046</v>
      </c>
    </row>
    <row r="187" spans="1:9" ht="13.5" thickBot="1" x14ac:dyDescent="0.25">
      <c r="A187" s="1108">
        <v>120.01</v>
      </c>
      <c r="B187" s="1109" t="s">
        <v>1337</v>
      </c>
      <c r="C187" s="1110" t="s">
        <v>1338</v>
      </c>
      <c r="D187" s="1106" t="s">
        <v>1046</v>
      </c>
      <c r="E187" s="1107" t="s">
        <v>1047</v>
      </c>
      <c r="H187">
        <v>1</v>
      </c>
      <c r="I187" t="s">
        <v>1046</v>
      </c>
    </row>
    <row r="188" spans="1:9" ht="13.5" thickBot="1" x14ac:dyDescent="0.25">
      <c r="A188" s="1111"/>
      <c r="B188" s="1109" t="s">
        <v>1339</v>
      </c>
      <c r="C188" s="1110" t="s">
        <v>1051</v>
      </c>
      <c r="D188" s="1106" t="s">
        <v>1046</v>
      </c>
      <c r="E188" s="1107" t="s">
        <v>1047</v>
      </c>
      <c r="H188">
        <v>1</v>
      </c>
      <c r="I188" t="s">
        <v>1046</v>
      </c>
    </row>
    <row r="189" spans="1:9" ht="13.5" thickBot="1" x14ac:dyDescent="0.25">
      <c r="A189" s="1108">
        <v>120.02</v>
      </c>
      <c r="B189" s="1109" t="s">
        <v>1340</v>
      </c>
      <c r="C189" s="1110" t="s">
        <v>1341</v>
      </c>
      <c r="D189" s="1106" t="s">
        <v>1046</v>
      </c>
      <c r="E189" s="1107" t="s">
        <v>1047</v>
      </c>
      <c r="H189">
        <v>1</v>
      </c>
      <c r="I189" t="s">
        <v>1046</v>
      </c>
    </row>
    <row r="190" spans="1:9" ht="13.5" thickBot="1" x14ac:dyDescent="0.25">
      <c r="A190" s="1111"/>
      <c r="B190" s="1109" t="s">
        <v>1342</v>
      </c>
      <c r="C190" s="1110" t="s">
        <v>1051</v>
      </c>
      <c r="D190" s="1106" t="s">
        <v>1046</v>
      </c>
      <c r="E190" s="1107" t="s">
        <v>1047</v>
      </c>
      <c r="H190">
        <v>1</v>
      </c>
      <c r="I190" t="s">
        <v>1046</v>
      </c>
    </row>
    <row r="191" spans="1:9" ht="13.5" thickBot="1" x14ac:dyDescent="0.25">
      <c r="A191" s="1108">
        <v>120.03</v>
      </c>
      <c r="B191" s="1109" t="s">
        <v>1343</v>
      </c>
      <c r="C191" s="1110" t="s">
        <v>1344</v>
      </c>
      <c r="D191" s="1106" t="s">
        <v>1046</v>
      </c>
      <c r="E191" s="1107" t="s">
        <v>1047</v>
      </c>
      <c r="H191">
        <v>1</v>
      </c>
      <c r="I191" t="s">
        <v>1046</v>
      </c>
    </row>
    <row r="192" spans="1:9" ht="13.5" thickBot="1" x14ac:dyDescent="0.25">
      <c r="A192" s="1111"/>
      <c r="B192" s="1109" t="s">
        <v>1345</v>
      </c>
      <c r="C192" s="1110" t="s">
        <v>1051</v>
      </c>
      <c r="D192" s="1106" t="s">
        <v>1046</v>
      </c>
      <c r="E192" s="1107" t="s">
        <v>1047</v>
      </c>
      <c r="H192">
        <v>1</v>
      </c>
      <c r="I192" t="s">
        <v>1046</v>
      </c>
    </row>
    <row r="193" spans="1:9" ht="13.5" thickBot="1" x14ac:dyDescent="0.25">
      <c r="A193" s="1108">
        <v>120.04</v>
      </c>
      <c r="B193" s="1109" t="s">
        <v>1346</v>
      </c>
      <c r="C193" s="1110" t="s">
        <v>1347</v>
      </c>
      <c r="D193" s="1106" t="s">
        <v>1046</v>
      </c>
      <c r="E193" s="1107" t="s">
        <v>1047</v>
      </c>
      <c r="H193">
        <v>1</v>
      </c>
      <c r="I193" t="s">
        <v>1046</v>
      </c>
    </row>
    <row r="194" spans="1:9" ht="13.5" thickBot="1" x14ac:dyDescent="0.25">
      <c r="A194" s="1111"/>
      <c r="B194" s="1109" t="s">
        <v>1348</v>
      </c>
      <c r="C194" s="1110" t="s">
        <v>1051</v>
      </c>
      <c r="D194" s="1106" t="s">
        <v>1046</v>
      </c>
      <c r="E194" s="1107" t="s">
        <v>1047</v>
      </c>
      <c r="H194">
        <v>1</v>
      </c>
      <c r="I194" t="s">
        <v>1046</v>
      </c>
    </row>
    <row r="195" spans="1:9" ht="13.5" thickBot="1" x14ac:dyDescent="0.25">
      <c r="A195" s="1104">
        <v>121</v>
      </c>
      <c r="B195" s="1104" t="s">
        <v>1349</v>
      </c>
      <c r="C195" s="1116" t="s">
        <v>1350</v>
      </c>
      <c r="D195" s="1106" t="s">
        <v>1046</v>
      </c>
      <c r="E195" s="1107" t="s">
        <v>1047</v>
      </c>
      <c r="H195">
        <v>1</v>
      </c>
      <c r="I195" t="s">
        <v>1046</v>
      </c>
    </row>
    <row r="196" spans="1:9" ht="13.5" thickBot="1" x14ac:dyDescent="0.25">
      <c r="A196" s="1108">
        <v>121.01</v>
      </c>
      <c r="B196" s="1109" t="s">
        <v>1351</v>
      </c>
      <c r="C196" s="1110" t="s">
        <v>1350</v>
      </c>
      <c r="D196" s="1106" t="s">
        <v>1046</v>
      </c>
      <c r="E196" s="1107" t="s">
        <v>1047</v>
      </c>
      <c r="H196">
        <v>1</v>
      </c>
      <c r="I196" t="s">
        <v>1046</v>
      </c>
    </row>
    <row r="197" spans="1:9" ht="13.5" thickBot="1" x14ac:dyDescent="0.25">
      <c r="A197" s="1111"/>
      <c r="B197" s="1109" t="s">
        <v>1352</v>
      </c>
      <c r="C197" s="1110" t="s">
        <v>1051</v>
      </c>
      <c r="D197" s="1106" t="s">
        <v>1046</v>
      </c>
      <c r="E197" s="1107" t="s">
        <v>1047</v>
      </c>
      <c r="H197">
        <v>1</v>
      </c>
      <c r="I197" t="s">
        <v>1046</v>
      </c>
    </row>
    <row r="198" spans="1:9" ht="13.5" thickBot="1" x14ac:dyDescent="0.25">
      <c r="A198" s="1104" t="s">
        <v>1353</v>
      </c>
      <c r="B198" s="1104" t="s">
        <v>1354</v>
      </c>
      <c r="C198" s="1116" t="s">
        <v>1355</v>
      </c>
      <c r="D198" s="1106" t="s">
        <v>1046</v>
      </c>
      <c r="E198" s="1107" t="s">
        <v>1047</v>
      </c>
      <c r="H198">
        <v>1</v>
      </c>
      <c r="I198" t="s">
        <v>1046</v>
      </c>
    </row>
    <row r="199" spans="1:9" ht="13.5" thickBot="1" x14ac:dyDescent="0.25">
      <c r="A199" s="1108">
        <v>151.01</v>
      </c>
      <c r="B199" s="1109" t="s">
        <v>1356</v>
      </c>
      <c r="C199" s="1110" t="s">
        <v>1357</v>
      </c>
      <c r="D199" s="1106" t="s">
        <v>1046</v>
      </c>
      <c r="E199" s="1107" t="s">
        <v>1047</v>
      </c>
      <c r="H199">
        <v>1</v>
      </c>
      <c r="I199" t="s">
        <v>1046</v>
      </c>
    </row>
    <row r="200" spans="1:9" ht="13.5" thickBot="1" x14ac:dyDescent="0.25">
      <c r="A200" s="1111"/>
      <c r="B200" s="1109" t="s">
        <v>1358</v>
      </c>
      <c r="C200" s="1110" t="s">
        <v>1051</v>
      </c>
      <c r="D200" s="1106" t="s">
        <v>1046</v>
      </c>
      <c r="E200" s="1107" t="s">
        <v>1047</v>
      </c>
      <c r="H200">
        <v>1</v>
      </c>
      <c r="I200" t="s">
        <v>1046</v>
      </c>
    </row>
    <row r="201" spans="1:9" ht="13.5" thickBot="1" x14ac:dyDescent="0.25">
      <c r="A201" s="1108">
        <v>152.01</v>
      </c>
      <c r="B201" s="1109" t="s">
        <v>1359</v>
      </c>
      <c r="C201" s="1110" t="s">
        <v>1360</v>
      </c>
      <c r="D201" s="1106" t="s">
        <v>1046</v>
      </c>
      <c r="E201" s="1107" t="s">
        <v>1047</v>
      </c>
      <c r="H201">
        <v>1</v>
      </c>
      <c r="I201" t="s">
        <v>1046</v>
      </c>
    </row>
    <row r="202" spans="1:9" ht="13.5" thickBot="1" x14ac:dyDescent="0.25">
      <c r="A202" s="1111"/>
      <c r="B202" s="1109" t="s">
        <v>1361</v>
      </c>
      <c r="C202" s="1110" t="s">
        <v>1051</v>
      </c>
      <c r="D202" s="1106" t="s">
        <v>1046</v>
      </c>
      <c r="E202" s="1107" t="s">
        <v>1047</v>
      </c>
      <c r="H202">
        <v>1</v>
      </c>
      <c r="I202" t="s">
        <v>1046</v>
      </c>
    </row>
    <row r="203" spans="1:9" ht="13.5" thickBot="1" x14ac:dyDescent="0.25">
      <c r="A203" s="1108">
        <v>153.01</v>
      </c>
      <c r="B203" s="1109" t="s">
        <v>1362</v>
      </c>
      <c r="C203" s="1110" t="s">
        <v>1363</v>
      </c>
      <c r="D203" s="1106" t="s">
        <v>1046</v>
      </c>
      <c r="E203" s="1107" t="s">
        <v>1047</v>
      </c>
      <c r="H203">
        <v>1</v>
      </c>
      <c r="I203" t="s">
        <v>1046</v>
      </c>
    </row>
    <row r="204" spans="1:9" ht="13.5" thickBot="1" x14ac:dyDescent="0.25">
      <c r="A204" s="1111"/>
      <c r="B204" s="1109" t="s">
        <v>1364</v>
      </c>
      <c r="C204" s="1110" t="s">
        <v>1051</v>
      </c>
      <c r="D204" s="1106" t="s">
        <v>1046</v>
      </c>
      <c r="E204" s="1107" t="s">
        <v>1047</v>
      </c>
      <c r="H204">
        <v>1</v>
      </c>
      <c r="I204" t="s">
        <v>1046</v>
      </c>
    </row>
    <row r="205" spans="1:9" ht="13.5" thickBot="1" x14ac:dyDescent="0.25">
      <c r="A205" s="1108">
        <v>154.01</v>
      </c>
      <c r="B205" s="1109" t="s">
        <v>1365</v>
      </c>
      <c r="C205" s="1110" t="s">
        <v>1366</v>
      </c>
      <c r="D205" s="1106" t="s">
        <v>1046</v>
      </c>
      <c r="E205" s="1107" t="s">
        <v>1047</v>
      </c>
      <c r="H205">
        <v>1</v>
      </c>
      <c r="I205" t="s">
        <v>1046</v>
      </c>
    </row>
    <row r="206" spans="1:9" ht="13.5" thickBot="1" x14ac:dyDescent="0.25">
      <c r="A206" s="1111"/>
      <c r="B206" s="1109" t="s">
        <v>1367</v>
      </c>
      <c r="C206" s="1110" t="s">
        <v>1051</v>
      </c>
      <c r="D206" s="1106" t="s">
        <v>1046</v>
      </c>
      <c r="E206" s="1107" t="s">
        <v>1047</v>
      </c>
      <c r="H206">
        <v>1</v>
      </c>
      <c r="I206" t="s">
        <v>1046</v>
      </c>
    </row>
    <row r="207" spans="1:9" ht="13.5" thickBot="1" x14ac:dyDescent="0.25">
      <c r="A207" s="1108">
        <v>155.01</v>
      </c>
      <c r="B207" s="1109" t="s">
        <v>1368</v>
      </c>
      <c r="C207" s="1110" t="s">
        <v>1369</v>
      </c>
      <c r="D207" s="1106" t="s">
        <v>1046</v>
      </c>
      <c r="E207" s="1107" t="s">
        <v>1047</v>
      </c>
      <c r="H207">
        <v>1</v>
      </c>
      <c r="I207" t="s">
        <v>1046</v>
      </c>
    </row>
    <row r="208" spans="1:9" ht="13.5" thickBot="1" x14ac:dyDescent="0.25">
      <c r="A208" s="1111"/>
      <c r="B208" s="1109" t="s">
        <v>1370</v>
      </c>
      <c r="C208" s="1110" t="s">
        <v>1051</v>
      </c>
      <c r="D208" s="1106" t="s">
        <v>1046</v>
      </c>
      <c r="E208" s="1107" t="s">
        <v>1047</v>
      </c>
      <c r="H208">
        <v>1</v>
      </c>
      <c r="I208" t="s">
        <v>1046</v>
      </c>
    </row>
    <row r="209" spans="1:9" ht="13.5" thickBot="1" x14ac:dyDescent="0.25">
      <c r="A209" s="1108">
        <v>156.01</v>
      </c>
      <c r="B209" s="1109" t="s">
        <v>1371</v>
      </c>
      <c r="C209" s="1110" t="s">
        <v>1372</v>
      </c>
      <c r="D209" s="1106" t="s">
        <v>1046</v>
      </c>
      <c r="E209" s="1107" t="s">
        <v>1047</v>
      </c>
      <c r="H209">
        <v>1</v>
      </c>
      <c r="I209" t="s">
        <v>1046</v>
      </c>
    </row>
    <row r="210" spans="1:9" ht="13.5" thickBot="1" x14ac:dyDescent="0.25">
      <c r="A210" s="1111"/>
      <c r="B210" s="1109" t="s">
        <v>1373</v>
      </c>
      <c r="C210" s="1110" t="s">
        <v>1051</v>
      </c>
      <c r="D210" s="1106" t="s">
        <v>1046</v>
      </c>
      <c r="E210" s="1107" t="s">
        <v>1047</v>
      </c>
      <c r="H210">
        <v>1</v>
      </c>
      <c r="I210" t="s">
        <v>1046</v>
      </c>
    </row>
    <row r="211" spans="1:9" ht="13.5" thickBot="1" x14ac:dyDescent="0.25">
      <c r="A211" s="1108">
        <v>170.01</v>
      </c>
      <c r="B211" s="1109" t="s">
        <v>1374</v>
      </c>
      <c r="C211" s="1110" t="s">
        <v>1375</v>
      </c>
      <c r="D211" s="1106" t="s">
        <v>1046</v>
      </c>
      <c r="E211" s="1107" t="s">
        <v>1047</v>
      </c>
      <c r="H211">
        <v>1</v>
      </c>
      <c r="I211" t="s">
        <v>1046</v>
      </c>
    </row>
    <row r="212" spans="1:9" ht="13.5" thickBot="1" x14ac:dyDescent="0.25">
      <c r="A212" s="1111"/>
      <c r="B212" s="1109" t="s">
        <v>1376</v>
      </c>
      <c r="C212" s="1110" t="s">
        <v>1051</v>
      </c>
      <c r="D212" s="1106" t="s">
        <v>1046</v>
      </c>
      <c r="E212" s="1107" t="s">
        <v>1047</v>
      </c>
      <c r="H212">
        <v>1</v>
      </c>
      <c r="I212" t="s">
        <v>1046</v>
      </c>
    </row>
    <row r="213" spans="1:9" ht="13.5" thickBot="1" x14ac:dyDescent="0.25">
      <c r="A213" s="1104" t="s">
        <v>1377</v>
      </c>
      <c r="B213" s="1104" t="s">
        <v>1378</v>
      </c>
      <c r="C213" s="1116" t="s">
        <v>1379</v>
      </c>
      <c r="D213" s="1106" t="s">
        <v>1046</v>
      </c>
      <c r="E213" s="1107" t="s">
        <v>1210</v>
      </c>
      <c r="H213">
        <v>1</v>
      </c>
      <c r="I213" t="s">
        <v>1046</v>
      </c>
    </row>
    <row r="214" spans="1:9" ht="13.5" thickBot="1" x14ac:dyDescent="0.25">
      <c r="A214" s="1108">
        <v>171.01</v>
      </c>
      <c r="B214" s="1109" t="s">
        <v>1380</v>
      </c>
      <c r="C214" s="1110" t="s">
        <v>1381</v>
      </c>
      <c r="D214" s="1106" t="s">
        <v>1046</v>
      </c>
      <c r="E214" s="1107" t="s">
        <v>1210</v>
      </c>
      <c r="H214">
        <v>1</v>
      </c>
      <c r="I214" t="s">
        <v>1046</v>
      </c>
    </row>
    <row r="215" spans="1:9" ht="13.5" thickBot="1" x14ac:dyDescent="0.25">
      <c r="A215" s="1111"/>
      <c r="B215" s="1109" t="s">
        <v>1382</v>
      </c>
      <c r="C215" s="1110" t="s">
        <v>1051</v>
      </c>
      <c r="D215" s="1106" t="s">
        <v>1046</v>
      </c>
      <c r="E215" s="1107" t="s">
        <v>1210</v>
      </c>
      <c r="H215">
        <v>1</v>
      </c>
      <c r="I215" t="s">
        <v>1046</v>
      </c>
    </row>
    <row r="216" spans="1:9" ht="13.5" thickBot="1" x14ac:dyDescent="0.25">
      <c r="A216" s="1108">
        <v>171.02</v>
      </c>
      <c r="B216" s="1109" t="s">
        <v>1383</v>
      </c>
      <c r="C216" s="1110" t="s">
        <v>1384</v>
      </c>
      <c r="D216" s="1106" t="s">
        <v>1046</v>
      </c>
      <c r="E216" s="1107" t="s">
        <v>1210</v>
      </c>
      <c r="H216">
        <v>1</v>
      </c>
      <c r="I216" t="s">
        <v>1046</v>
      </c>
    </row>
    <row r="217" spans="1:9" ht="13.5" thickBot="1" x14ac:dyDescent="0.25">
      <c r="A217" s="1111"/>
      <c r="B217" s="1109" t="s">
        <v>1385</v>
      </c>
      <c r="C217" s="1110" t="s">
        <v>1051</v>
      </c>
      <c r="D217" s="1106" t="s">
        <v>1046</v>
      </c>
      <c r="E217" s="1107" t="s">
        <v>1210</v>
      </c>
      <c r="H217">
        <v>1</v>
      </c>
      <c r="I217" t="s">
        <v>1046</v>
      </c>
    </row>
    <row r="218" spans="1:9" ht="13.5" thickBot="1" x14ac:dyDescent="0.25">
      <c r="A218" s="1108">
        <v>171.03</v>
      </c>
      <c r="B218" s="1109" t="s">
        <v>1386</v>
      </c>
      <c r="C218" s="1110" t="s">
        <v>1387</v>
      </c>
      <c r="D218" s="1106" t="s">
        <v>1046</v>
      </c>
      <c r="E218" s="1107" t="s">
        <v>1210</v>
      </c>
      <c r="H218">
        <v>1</v>
      </c>
      <c r="I218" t="s">
        <v>1046</v>
      </c>
    </row>
    <row r="219" spans="1:9" ht="13.5" thickBot="1" x14ac:dyDescent="0.25">
      <c r="A219" s="1111"/>
      <c r="B219" s="1109" t="s">
        <v>1388</v>
      </c>
      <c r="C219" s="1110" t="s">
        <v>1051</v>
      </c>
      <c r="D219" s="1106" t="s">
        <v>1046</v>
      </c>
      <c r="E219" s="1107" t="s">
        <v>1210</v>
      </c>
      <c r="H219">
        <v>1</v>
      </c>
      <c r="I219" t="s">
        <v>1046</v>
      </c>
    </row>
    <row r="220" spans="1:9" ht="13.5" thickBot="1" x14ac:dyDescent="0.25">
      <c r="A220" s="1108">
        <v>171.04</v>
      </c>
      <c r="B220" s="1109" t="s">
        <v>1389</v>
      </c>
      <c r="C220" s="1110" t="s">
        <v>1390</v>
      </c>
      <c r="D220" s="1106" t="s">
        <v>1046</v>
      </c>
      <c r="E220" s="1107" t="s">
        <v>1210</v>
      </c>
      <c r="H220">
        <v>1</v>
      </c>
      <c r="I220" t="s">
        <v>1046</v>
      </c>
    </row>
    <row r="221" spans="1:9" ht="13.5" thickBot="1" x14ac:dyDescent="0.25">
      <c r="A221" s="1111"/>
      <c r="B221" s="1109" t="s">
        <v>1391</v>
      </c>
      <c r="C221" s="1110" t="s">
        <v>1051</v>
      </c>
      <c r="D221" s="1106" t="s">
        <v>1046</v>
      </c>
      <c r="E221" s="1107" t="s">
        <v>1210</v>
      </c>
      <c r="H221">
        <v>1</v>
      </c>
      <c r="I221" t="s">
        <v>1046</v>
      </c>
    </row>
    <row r="222" spans="1:9" ht="13.5" thickBot="1" x14ac:dyDescent="0.25">
      <c r="A222" s="1108">
        <v>171.05</v>
      </c>
      <c r="B222" s="1109" t="s">
        <v>1392</v>
      </c>
      <c r="C222" s="1110" t="s">
        <v>1393</v>
      </c>
      <c r="D222" s="1106" t="s">
        <v>1046</v>
      </c>
      <c r="E222" s="1107" t="s">
        <v>1210</v>
      </c>
      <c r="H222">
        <v>1</v>
      </c>
      <c r="I222" t="s">
        <v>1046</v>
      </c>
    </row>
    <row r="223" spans="1:9" ht="13.5" thickBot="1" x14ac:dyDescent="0.25">
      <c r="A223" s="1111"/>
      <c r="B223" s="1109" t="s">
        <v>1394</v>
      </c>
      <c r="C223" s="1110" t="s">
        <v>1051</v>
      </c>
      <c r="D223" s="1106" t="s">
        <v>1046</v>
      </c>
      <c r="E223" s="1107" t="s">
        <v>1210</v>
      </c>
      <c r="H223">
        <v>1</v>
      </c>
      <c r="I223" t="s">
        <v>1046</v>
      </c>
    </row>
    <row r="224" spans="1:9" ht="13.5" thickBot="1" x14ac:dyDescent="0.25">
      <c r="A224" s="1108">
        <v>171.17</v>
      </c>
      <c r="B224" s="1109" t="s">
        <v>1395</v>
      </c>
      <c r="C224" s="1110" t="s">
        <v>1396</v>
      </c>
      <c r="D224" s="1106" t="s">
        <v>1046</v>
      </c>
      <c r="E224" s="1107" t="s">
        <v>1210</v>
      </c>
      <c r="H224">
        <v>1</v>
      </c>
      <c r="I224" t="s">
        <v>1046</v>
      </c>
    </row>
    <row r="225" spans="1:9" ht="13.5" thickBot="1" x14ac:dyDescent="0.25">
      <c r="A225" s="1111"/>
      <c r="B225" s="1109" t="s">
        <v>1397</v>
      </c>
      <c r="C225" s="1110" t="s">
        <v>1051</v>
      </c>
      <c r="D225" s="1106" t="s">
        <v>1046</v>
      </c>
      <c r="E225" s="1107" t="s">
        <v>1210</v>
      </c>
      <c r="H225">
        <v>1</v>
      </c>
      <c r="I225" t="s">
        <v>1046</v>
      </c>
    </row>
    <row r="226" spans="1:9" ht="23.25" thickBot="1" x14ac:dyDescent="0.25">
      <c r="A226" s="1104" t="s">
        <v>1398</v>
      </c>
      <c r="B226" s="1104" t="s">
        <v>1399</v>
      </c>
      <c r="C226" s="1116" t="s">
        <v>1400</v>
      </c>
      <c r="D226" s="1106" t="s">
        <v>1046</v>
      </c>
      <c r="E226" s="1107" t="s">
        <v>1210</v>
      </c>
      <c r="H226">
        <v>1</v>
      </c>
      <c r="I226" t="s">
        <v>1046</v>
      </c>
    </row>
    <row r="227" spans="1:9" ht="13.5" thickBot="1" x14ac:dyDescent="0.25">
      <c r="A227" s="1108">
        <v>172.01</v>
      </c>
      <c r="B227" s="1109" t="s">
        <v>1401</v>
      </c>
      <c r="C227" s="1110" t="s">
        <v>1402</v>
      </c>
      <c r="D227" s="1106" t="s">
        <v>1046</v>
      </c>
      <c r="E227" s="1107" t="s">
        <v>1210</v>
      </c>
      <c r="H227">
        <v>1</v>
      </c>
      <c r="I227" t="s">
        <v>1046</v>
      </c>
    </row>
    <row r="228" spans="1:9" ht="13.5" thickBot="1" x14ac:dyDescent="0.25">
      <c r="A228" s="1111"/>
      <c r="B228" s="1109" t="s">
        <v>1403</v>
      </c>
      <c r="C228" s="1110" t="s">
        <v>1051</v>
      </c>
      <c r="D228" s="1106" t="s">
        <v>1046</v>
      </c>
      <c r="E228" s="1107" t="s">
        <v>1210</v>
      </c>
      <c r="H228">
        <v>1</v>
      </c>
      <c r="I228" t="s">
        <v>1046</v>
      </c>
    </row>
    <row r="229" spans="1:9" ht="13.5" thickBot="1" x14ac:dyDescent="0.25">
      <c r="A229" s="1108">
        <v>172.02</v>
      </c>
      <c r="B229" s="1109" t="s">
        <v>1404</v>
      </c>
      <c r="C229" s="1110" t="s">
        <v>1405</v>
      </c>
      <c r="D229" s="1106" t="s">
        <v>1046</v>
      </c>
      <c r="E229" s="1107" t="s">
        <v>1210</v>
      </c>
      <c r="H229">
        <v>1</v>
      </c>
      <c r="I229" t="s">
        <v>1046</v>
      </c>
    </row>
    <row r="230" spans="1:9" ht="13.5" thickBot="1" x14ac:dyDescent="0.25">
      <c r="A230" s="1111"/>
      <c r="B230" s="1109" t="s">
        <v>1406</v>
      </c>
      <c r="C230" s="1110" t="s">
        <v>1051</v>
      </c>
      <c r="D230" s="1106" t="s">
        <v>1046</v>
      </c>
      <c r="E230" s="1107" t="s">
        <v>1210</v>
      </c>
      <c r="H230">
        <v>1</v>
      </c>
      <c r="I230" t="s">
        <v>1046</v>
      </c>
    </row>
    <row r="231" spans="1:9" ht="13.5" thickBot="1" x14ac:dyDescent="0.25">
      <c r="A231" s="1108">
        <v>172.03</v>
      </c>
      <c r="B231" s="1109" t="s">
        <v>1407</v>
      </c>
      <c r="C231" s="1110" t="s">
        <v>1408</v>
      </c>
      <c r="D231" s="1106" t="s">
        <v>1046</v>
      </c>
      <c r="E231" s="1107" t="s">
        <v>1210</v>
      </c>
      <c r="H231">
        <v>1</v>
      </c>
      <c r="I231" t="s">
        <v>1046</v>
      </c>
    </row>
    <row r="232" spans="1:9" ht="13.5" thickBot="1" x14ac:dyDescent="0.25">
      <c r="A232" s="1111"/>
      <c r="B232" s="1109" t="s">
        <v>1409</v>
      </c>
      <c r="C232" s="1110" t="s">
        <v>1051</v>
      </c>
      <c r="D232" s="1106" t="s">
        <v>1046</v>
      </c>
      <c r="E232" s="1107" t="s">
        <v>1210</v>
      </c>
      <c r="H232">
        <v>1</v>
      </c>
      <c r="I232" t="s">
        <v>1046</v>
      </c>
    </row>
    <row r="233" spans="1:9" ht="13.5" thickBot="1" x14ac:dyDescent="0.25">
      <c r="A233" s="1108">
        <v>172.04</v>
      </c>
      <c r="B233" s="1109" t="s">
        <v>1410</v>
      </c>
      <c r="C233" s="1110" t="s">
        <v>1411</v>
      </c>
      <c r="D233" s="1106" t="s">
        <v>1046</v>
      </c>
      <c r="E233" s="1107" t="s">
        <v>1210</v>
      </c>
      <c r="H233">
        <v>1</v>
      </c>
      <c r="I233" t="s">
        <v>1046</v>
      </c>
    </row>
    <row r="234" spans="1:9" ht="13.5" thickBot="1" x14ac:dyDescent="0.25">
      <c r="A234" s="1111"/>
      <c r="B234" s="1109" t="s">
        <v>1412</v>
      </c>
      <c r="C234" s="1110" t="s">
        <v>1051</v>
      </c>
      <c r="D234" s="1106" t="s">
        <v>1046</v>
      </c>
      <c r="E234" s="1107" t="s">
        <v>1210</v>
      </c>
      <c r="H234">
        <v>1</v>
      </c>
      <c r="I234" t="s">
        <v>1046</v>
      </c>
    </row>
    <row r="235" spans="1:9" ht="13.5" thickBot="1" x14ac:dyDescent="0.25">
      <c r="A235" s="1108">
        <v>172.05</v>
      </c>
      <c r="B235" s="1109" t="s">
        <v>1413</v>
      </c>
      <c r="C235" s="1110" t="s">
        <v>1414</v>
      </c>
      <c r="D235" s="1106" t="s">
        <v>1046</v>
      </c>
      <c r="E235" s="1107" t="s">
        <v>1210</v>
      </c>
      <c r="H235">
        <v>1</v>
      </c>
      <c r="I235" t="s">
        <v>1046</v>
      </c>
    </row>
    <row r="236" spans="1:9" ht="13.5" thickBot="1" x14ac:dyDescent="0.25">
      <c r="A236" s="1111"/>
      <c r="B236" s="1109" t="s">
        <v>1415</v>
      </c>
      <c r="C236" s="1110" t="s">
        <v>1051</v>
      </c>
      <c r="D236" s="1106" t="s">
        <v>1046</v>
      </c>
      <c r="E236" s="1107" t="s">
        <v>1210</v>
      </c>
      <c r="H236">
        <v>1</v>
      </c>
      <c r="I236" t="s">
        <v>1046</v>
      </c>
    </row>
    <row r="237" spans="1:9" ht="23.25" thickBot="1" x14ac:dyDescent="0.25">
      <c r="A237" s="1108">
        <v>172.06</v>
      </c>
      <c r="B237" s="1109" t="s">
        <v>1416</v>
      </c>
      <c r="C237" s="1110" t="s">
        <v>1417</v>
      </c>
      <c r="D237" s="1106" t="s">
        <v>1046</v>
      </c>
      <c r="E237" s="1107" t="s">
        <v>1210</v>
      </c>
      <c r="H237">
        <v>1</v>
      </c>
      <c r="I237" t="s">
        <v>1046</v>
      </c>
    </row>
    <row r="238" spans="1:9" ht="13.5" thickBot="1" x14ac:dyDescent="0.25">
      <c r="A238" s="1111"/>
      <c r="B238" s="1109" t="s">
        <v>1418</v>
      </c>
      <c r="C238" s="1110" t="s">
        <v>1051</v>
      </c>
      <c r="D238" s="1106" t="s">
        <v>1046</v>
      </c>
      <c r="E238" s="1107" t="s">
        <v>1210</v>
      </c>
      <c r="H238">
        <v>1</v>
      </c>
      <c r="I238" t="s">
        <v>1046</v>
      </c>
    </row>
    <row r="239" spans="1:9" ht="13.5" thickBot="1" x14ac:dyDescent="0.25">
      <c r="A239" s="1104" t="s">
        <v>1419</v>
      </c>
      <c r="B239" s="1104" t="s">
        <v>1420</v>
      </c>
      <c r="C239" s="1116" t="s">
        <v>1421</v>
      </c>
      <c r="D239" s="1106" t="s">
        <v>1046</v>
      </c>
      <c r="E239" s="1107" t="s">
        <v>1047</v>
      </c>
      <c r="H239">
        <v>1</v>
      </c>
      <c r="I239" t="s">
        <v>1046</v>
      </c>
    </row>
    <row r="240" spans="1:9" ht="13.5" thickBot="1" x14ac:dyDescent="0.25">
      <c r="A240" s="1108">
        <v>173.01</v>
      </c>
      <c r="B240" s="1109" t="s">
        <v>1422</v>
      </c>
      <c r="C240" s="1110" t="s">
        <v>1421</v>
      </c>
      <c r="D240" s="1106" t="s">
        <v>1046</v>
      </c>
      <c r="E240" s="1107" t="s">
        <v>1047</v>
      </c>
      <c r="H240">
        <v>1</v>
      </c>
      <c r="I240" t="s">
        <v>1046</v>
      </c>
    </row>
    <row r="241" spans="1:9" ht="13.5" thickBot="1" x14ac:dyDescent="0.25">
      <c r="A241" s="1111"/>
      <c r="B241" s="1109" t="s">
        <v>1423</v>
      </c>
      <c r="C241" s="1110" t="s">
        <v>1051</v>
      </c>
      <c r="D241" s="1106" t="s">
        <v>1046</v>
      </c>
      <c r="E241" s="1107" t="s">
        <v>1047</v>
      </c>
      <c r="H241">
        <v>1</v>
      </c>
      <c r="I241" t="s">
        <v>1046</v>
      </c>
    </row>
    <row r="242" spans="1:9" ht="13.5" thickBot="1" x14ac:dyDescent="0.25">
      <c r="A242" s="1108">
        <v>174.01</v>
      </c>
      <c r="B242" s="1109" t="s">
        <v>1424</v>
      </c>
      <c r="C242" s="1110" t="s">
        <v>1425</v>
      </c>
      <c r="D242" s="1106" t="s">
        <v>1046</v>
      </c>
      <c r="E242" s="1107" t="s">
        <v>1047</v>
      </c>
      <c r="H242">
        <v>1</v>
      </c>
      <c r="I242" t="s">
        <v>1046</v>
      </c>
    </row>
    <row r="243" spans="1:9" ht="13.5" thickBot="1" x14ac:dyDescent="0.25">
      <c r="A243" s="1111"/>
      <c r="B243" s="1109" t="s">
        <v>1426</v>
      </c>
      <c r="C243" s="1110" t="s">
        <v>1051</v>
      </c>
      <c r="D243" s="1106" t="s">
        <v>1046</v>
      </c>
      <c r="E243" s="1107" t="s">
        <v>1047</v>
      </c>
      <c r="H243">
        <v>1</v>
      </c>
      <c r="I243" t="s">
        <v>1046</v>
      </c>
    </row>
    <row r="244" spans="1:9" ht="13.5" thickBot="1" x14ac:dyDescent="0.25">
      <c r="A244" s="1108">
        <v>175.01</v>
      </c>
      <c r="B244" s="1109" t="s">
        <v>1427</v>
      </c>
      <c r="C244" s="1110" t="s">
        <v>1428</v>
      </c>
      <c r="D244" s="1106" t="s">
        <v>1046</v>
      </c>
      <c r="E244" s="1107" t="s">
        <v>1047</v>
      </c>
      <c r="H244">
        <v>1</v>
      </c>
      <c r="I244" t="s">
        <v>1046</v>
      </c>
    </row>
    <row r="245" spans="1:9" ht="13.5" thickBot="1" x14ac:dyDescent="0.25">
      <c r="A245" s="1111"/>
      <c r="B245" s="1109" t="s">
        <v>1429</v>
      </c>
      <c r="C245" s="1110" t="s">
        <v>1051</v>
      </c>
      <c r="D245" s="1106" t="s">
        <v>1046</v>
      </c>
      <c r="E245" s="1107" t="s">
        <v>1047</v>
      </c>
      <c r="H245">
        <v>1</v>
      </c>
      <c r="I245" t="s">
        <v>1046</v>
      </c>
    </row>
    <row r="246" spans="1:9" ht="13.5" thickBot="1" x14ac:dyDescent="0.25">
      <c r="A246" s="1108">
        <v>176.01</v>
      </c>
      <c r="B246" s="1109" t="s">
        <v>1430</v>
      </c>
      <c r="C246" s="1110" t="s">
        <v>1431</v>
      </c>
      <c r="D246" s="1106" t="s">
        <v>1046</v>
      </c>
      <c r="E246" s="1107" t="s">
        <v>1047</v>
      </c>
      <c r="H246">
        <v>1</v>
      </c>
      <c r="I246" t="s">
        <v>1046</v>
      </c>
    </row>
    <row r="247" spans="1:9" ht="13.5" thickBot="1" x14ac:dyDescent="0.25">
      <c r="A247" s="1111"/>
      <c r="B247" s="1109" t="s">
        <v>1432</v>
      </c>
      <c r="C247" s="1110" t="s">
        <v>1051</v>
      </c>
      <c r="D247" s="1106" t="s">
        <v>1046</v>
      </c>
      <c r="E247" s="1107" t="s">
        <v>1047</v>
      </c>
      <c r="H247">
        <v>1</v>
      </c>
      <c r="I247" t="s">
        <v>1046</v>
      </c>
    </row>
    <row r="248" spans="1:9" ht="13.5" thickBot="1" x14ac:dyDescent="0.25">
      <c r="A248" s="1108">
        <v>177.01</v>
      </c>
      <c r="B248" s="1109" t="s">
        <v>1433</v>
      </c>
      <c r="C248" s="1110" t="s">
        <v>1434</v>
      </c>
      <c r="D248" s="1106" t="s">
        <v>1046</v>
      </c>
      <c r="E248" s="1107" t="s">
        <v>1047</v>
      </c>
      <c r="H248">
        <v>1</v>
      </c>
      <c r="I248" t="s">
        <v>1046</v>
      </c>
    </row>
    <row r="249" spans="1:9" ht="13.5" thickBot="1" x14ac:dyDescent="0.25">
      <c r="A249" s="1111"/>
      <c r="B249" s="1109" t="s">
        <v>1435</v>
      </c>
      <c r="C249" s="1110" t="s">
        <v>1051</v>
      </c>
      <c r="D249" s="1106" t="s">
        <v>1046</v>
      </c>
      <c r="E249" s="1107" t="s">
        <v>1047</v>
      </c>
      <c r="H249">
        <v>1</v>
      </c>
      <c r="I249" t="s">
        <v>1046</v>
      </c>
    </row>
    <row r="250" spans="1:9" ht="13.5" thickBot="1" x14ac:dyDescent="0.25">
      <c r="A250" s="1108">
        <v>178.01</v>
      </c>
      <c r="B250" s="1109" t="s">
        <v>1436</v>
      </c>
      <c r="C250" s="1110" t="s">
        <v>1437</v>
      </c>
      <c r="D250" s="1106" t="s">
        <v>1046</v>
      </c>
      <c r="E250" s="1107" t="s">
        <v>1047</v>
      </c>
      <c r="H250">
        <v>1</v>
      </c>
      <c r="I250" t="s">
        <v>1046</v>
      </c>
    </row>
    <row r="251" spans="1:9" ht="13.5" thickBot="1" x14ac:dyDescent="0.25">
      <c r="A251" s="1111"/>
      <c r="B251" s="1109" t="s">
        <v>1438</v>
      </c>
      <c r="C251" s="1110" t="s">
        <v>1051</v>
      </c>
      <c r="D251" s="1106" t="s">
        <v>1046</v>
      </c>
      <c r="E251" s="1107" t="s">
        <v>1047</v>
      </c>
      <c r="H251">
        <v>1</v>
      </c>
      <c r="I251" t="s">
        <v>1046</v>
      </c>
    </row>
    <row r="252" spans="1:9" ht="13.5" thickBot="1" x14ac:dyDescent="0.25">
      <c r="A252" s="1108">
        <v>179.01</v>
      </c>
      <c r="B252" s="1109" t="s">
        <v>1439</v>
      </c>
      <c r="C252" s="1110" t="s">
        <v>1440</v>
      </c>
      <c r="D252" s="1106" t="s">
        <v>1046</v>
      </c>
      <c r="E252" s="1107" t="s">
        <v>1047</v>
      </c>
      <c r="H252">
        <v>1</v>
      </c>
      <c r="I252" t="s">
        <v>1046</v>
      </c>
    </row>
    <row r="253" spans="1:9" ht="13.5" thickBot="1" x14ac:dyDescent="0.25">
      <c r="A253" s="1111"/>
      <c r="B253" s="1109" t="s">
        <v>1441</v>
      </c>
      <c r="C253" s="1110" t="s">
        <v>1051</v>
      </c>
      <c r="D253" s="1106" t="s">
        <v>1046</v>
      </c>
      <c r="E253" s="1107" t="s">
        <v>1047</v>
      </c>
      <c r="H253">
        <v>1</v>
      </c>
      <c r="I253" t="s">
        <v>1046</v>
      </c>
    </row>
    <row r="254" spans="1:9" ht="13.5" thickBot="1" x14ac:dyDescent="0.25">
      <c r="A254" s="1108">
        <v>180.01</v>
      </c>
      <c r="B254" s="1109" t="s">
        <v>1442</v>
      </c>
      <c r="C254" s="1110" t="s">
        <v>1443</v>
      </c>
      <c r="D254" s="1106" t="s">
        <v>1046</v>
      </c>
      <c r="E254" s="1107" t="s">
        <v>1047</v>
      </c>
      <c r="H254">
        <v>1</v>
      </c>
      <c r="I254" t="s">
        <v>1046</v>
      </c>
    </row>
    <row r="255" spans="1:9" ht="13.5" thickBot="1" x14ac:dyDescent="0.25">
      <c r="A255" s="1111"/>
      <c r="B255" s="1109" t="s">
        <v>1444</v>
      </c>
      <c r="C255" s="1110" t="s">
        <v>1051</v>
      </c>
      <c r="D255" s="1106" t="s">
        <v>1046</v>
      </c>
      <c r="E255" s="1107" t="s">
        <v>1047</v>
      </c>
      <c r="H255">
        <v>1</v>
      </c>
      <c r="I255" t="s">
        <v>1046</v>
      </c>
    </row>
    <row r="256" spans="1:9" ht="13.5" thickBot="1" x14ac:dyDescent="0.25">
      <c r="A256" s="1108">
        <v>181.01</v>
      </c>
      <c r="B256" s="1109" t="s">
        <v>1445</v>
      </c>
      <c r="C256" s="1110" t="s">
        <v>1446</v>
      </c>
      <c r="D256" s="1106" t="s">
        <v>1046</v>
      </c>
      <c r="E256" s="1107" t="s">
        <v>1047</v>
      </c>
      <c r="H256">
        <v>1</v>
      </c>
      <c r="I256" t="s">
        <v>1046</v>
      </c>
    </row>
    <row r="257" spans="1:9" ht="13.5" thickBot="1" x14ac:dyDescent="0.25">
      <c r="A257" s="1111"/>
      <c r="B257" s="1109" t="s">
        <v>1447</v>
      </c>
      <c r="C257" s="1110" t="s">
        <v>1051</v>
      </c>
      <c r="D257" s="1106" t="s">
        <v>1046</v>
      </c>
      <c r="E257" s="1107" t="s">
        <v>1047</v>
      </c>
      <c r="H257">
        <v>1</v>
      </c>
      <c r="I257" t="s">
        <v>1046</v>
      </c>
    </row>
    <row r="258" spans="1:9" ht="13.5" thickBot="1" x14ac:dyDescent="0.25">
      <c r="A258" s="1108">
        <v>182.01</v>
      </c>
      <c r="B258" s="1109" t="s">
        <v>1448</v>
      </c>
      <c r="C258" s="1110" t="s">
        <v>1449</v>
      </c>
      <c r="D258" s="1106" t="s">
        <v>1046</v>
      </c>
      <c r="E258" s="1107" t="s">
        <v>1047</v>
      </c>
      <c r="H258">
        <v>1</v>
      </c>
      <c r="I258" t="s">
        <v>1046</v>
      </c>
    </row>
    <row r="259" spans="1:9" ht="13.5" thickBot="1" x14ac:dyDescent="0.25">
      <c r="A259" s="1111"/>
      <c r="B259" s="1109" t="s">
        <v>1450</v>
      </c>
      <c r="C259" s="1110" t="s">
        <v>1051</v>
      </c>
      <c r="D259" s="1106" t="s">
        <v>1046</v>
      </c>
      <c r="E259" s="1107" t="s">
        <v>1047</v>
      </c>
      <c r="H259">
        <v>1</v>
      </c>
      <c r="I259" t="s">
        <v>1046</v>
      </c>
    </row>
    <row r="260" spans="1:9" ht="13.5" thickBot="1" x14ac:dyDescent="0.25">
      <c r="A260" s="1104" t="s">
        <v>1451</v>
      </c>
      <c r="B260" s="1104" t="s">
        <v>1452</v>
      </c>
      <c r="C260" s="1116" t="s">
        <v>1453</v>
      </c>
      <c r="D260" s="1106" t="s">
        <v>1046</v>
      </c>
      <c r="E260" s="1107" t="s">
        <v>1210</v>
      </c>
      <c r="H260">
        <v>1</v>
      </c>
      <c r="I260" t="s">
        <v>1046</v>
      </c>
    </row>
    <row r="261" spans="1:9" ht="13.5" thickBot="1" x14ac:dyDescent="0.25">
      <c r="A261" s="1108">
        <v>183.01</v>
      </c>
      <c r="B261" s="1109" t="s">
        <v>1454</v>
      </c>
      <c r="C261" s="1110" t="s">
        <v>1455</v>
      </c>
      <c r="D261" s="1106" t="s">
        <v>1046</v>
      </c>
      <c r="E261" s="1107" t="s">
        <v>1210</v>
      </c>
      <c r="H261">
        <v>1</v>
      </c>
      <c r="I261" t="s">
        <v>1046</v>
      </c>
    </row>
    <row r="262" spans="1:9" ht="13.5" thickBot="1" x14ac:dyDescent="0.25">
      <c r="A262" s="1111"/>
      <c r="B262" s="1109" t="s">
        <v>1456</v>
      </c>
      <c r="C262" s="1110" t="s">
        <v>1051</v>
      </c>
      <c r="D262" s="1106" t="s">
        <v>1046</v>
      </c>
      <c r="E262" s="1107" t="s">
        <v>1210</v>
      </c>
      <c r="H262">
        <v>1</v>
      </c>
      <c r="I262" t="s">
        <v>1046</v>
      </c>
    </row>
    <row r="263" spans="1:9" ht="13.5" thickBot="1" x14ac:dyDescent="0.25">
      <c r="A263" s="1108">
        <v>183.02</v>
      </c>
      <c r="B263" s="1109" t="s">
        <v>1457</v>
      </c>
      <c r="C263" s="1110" t="s">
        <v>1458</v>
      </c>
      <c r="D263" s="1106" t="s">
        <v>1046</v>
      </c>
      <c r="E263" s="1107" t="s">
        <v>1210</v>
      </c>
      <c r="H263">
        <v>1</v>
      </c>
      <c r="I263" t="s">
        <v>1046</v>
      </c>
    </row>
    <row r="264" spans="1:9" ht="13.5" thickBot="1" x14ac:dyDescent="0.25">
      <c r="A264" s="1111"/>
      <c r="B264" s="1109" t="s">
        <v>1459</v>
      </c>
      <c r="C264" s="1110" t="s">
        <v>1051</v>
      </c>
      <c r="D264" s="1106" t="s">
        <v>1046</v>
      </c>
      <c r="E264" s="1107" t="s">
        <v>1210</v>
      </c>
      <c r="H264">
        <v>1</v>
      </c>
      <c r="I264" t="s">
        <v>1046</v>
      </c>
    </row>
    <row r="265" spans="1:9" ht="13.5" thickBot="1" x14ac:dyDescent="0.25">
      <c r="A265" s="1108">
        <v>183.03</v>
      </c>
      <c r="B265" s="1109" t="s">
        <v>1460</v>
      </c>
      <c r="C265" s="1110" t="s">
        <v>1461</v>
      </c>
      <c r="D265" s="1106" t="s">
        <v>1046</v>
      </c>
      <c r="E265" s="1107" t="s">
        <v>1210</v>
      </c>
      <c r="H265">
        <v>1</v>
      </c>
      <c r="I265" t="s">
        <v>1046</v>
      </c>
    </row>
    <row r="266" spans="1:9" ht="13.5" thickBot="1" x14ac:dyDescent="0.25">
      <c r="A266" s="1111"/>
      <c r="B266" s="1109" t="s">
        <v>1462</v>
      </c>
      <c r="C266" s="1110" t="s">
        <v>1051</v>
      </c>
      <c r="D266" s="1106" t="s">
        <v>1046</v>
      </c>
      <c r="E266" s="1107" t="s">
        <v>1210</v>
      </c>
      <c r="H266">
        <v>1</v>
      </c>
      <c r="I266" t="s">
        <v>1046</v>
      </c>
    </row>
    <row r="267" spans="1:9" ht="13.5" thickBot="1" x14ac:dyDescent="0.25">
      <c r="A267" s="1108">
        <v>183.04</v>
      </c>
      <c r="B267" s="1109" t="s">
        <v>1463</v>
      </c>
      <c r="C267" s="1110" t="s">
        <v>1464</v>
      </c>
      <c r="D267" s="1106" t="s">
        <v>1046</v>
      </c>
      <c r="E267" s="1107" t="s">
        <v>1210</v>
      </c>
      <c r="H267">
        <v>1</v>
      </c>
      <c r="I267" t="s">
        <v>1046</v>
      </c>
    </row>
    <row r="268" spans="1:9" ht="13.5" thickBot="1" x14ac:dyDescent="0.25">
      <c r="A268" s="1111"/>
      <c r="B268" s="1109" t="s">
        <v>1465</v>
      </c>
      <c r="C268" s="1110" t="s">
        <v>1051</v>
      </c>
      <c r="D268" s="1106" t="s">
        <v>1046</v>
      </c>
      <c r="E268" s="1107" t="s">
        <v>1210</v>
      </c>
      <c r="H268">
        <v>1</v>
      </c>
      <c r="I268" t="s">
        <v>1046</v>
      </c>
    </row>
    <row r="269" spans="1:9" ht="13.5" thickBot="1" x14ac:dyDescent="0.25">
      <c r="A269" s="1108">
        <v>183.05</v>
      </c>
      <c r="B269" s="1109" t="s">
        <v>1466</v>
      </c>
      <c r="C269" s="1110" t="s">
        <v>1467</v>
      </c>
      <c r="D269" s="1106" t="s">
        <v>1046</v>
      </c>
      <c r="E269" s="1107" t="s">
        <v>1210</v>
      </c>
      <c r="H269">
        <v>1</v>
      </c>
      <c r="I269" t="s">
        <v>1046</v>
      </c>
    </row>
    <row r="270" spans="1:9" ht="13.5" thickBot="1" x14ac:dyDescent="0.25">
      <c r="A270" s="1111"/>
      <c r="B270" s="1109" t="s">
        <v>1468</v>
      </c>
      <c r="C270" s="1110" t="s">
        <v>1051</v>
      </c>
      <c r="D270" s="1106" t="s">
        <v>1046</v>
      </c>
      <c r="E270" s="1107" t="s">
        <v>1210</v>
      </c>
      <c r="H270">
        <v>1</v>
      </c>
      <c r="I270" t="s">
        <v>1046</v>
      </c>
    </row>
    <row r="271" spans="1:9" ht="13.5" thickBot="1" x14ac:dyDescent="0.25">
      <c r="A271" s="1108">
        <v>183.06</v>
      </c>
      <c r="B271" s="1109" t="s">
        <v>1469</v>
      </c>
      <c r="C271" s="1110" t="s">
        <v>1470</v>
      </c>
      <c r="D271" s="1106" t="s">
        <v>1046</v>
      </c>
      <c r="E271" s="1107" t="s">
        <v>1210</v>
      </c>
      <c r="H271">
        <v>1</v>
      </c>
      <c r="I271" t="s">
        <v>1046</v>
      </c>
    </row>
    <row r="272" spans="1:9" ht="13.5" thickBot="1" x14ac:dyDescent="0.25">
      <c r="A272" s="1111"/>
      <c r="B272" s="1109" t="s">
        <v>1471</v>
      </c>
      <c r="C272" s="1110" t="s">
        <v>1051</v>
      </c>
      <c r="D272" s="1106" t="s">
        <v>1046</v>
      </c>
      <c r="E272" s="1107" t="s">
        <v>1210</v>
      </c>
      <c r="H272">
        <v>1</v>
      </c>
      <c r="I272" t="s">
        <v>1046</v>
      </c>
    </row>
    <row r="273" spans="1:9" ht="13.5" thickBot="1" x14ac:dyDescent="0.25">
      <c r="A273" s="1108">
        <v>183.07</v>
      </c>
      <c r="B273" s="1109" t="s">
        <v>1472</v>
      </c>
      <c r="C273" s="1110" t="s">
        <v>1473</v>
      </c>
      <c r="D273" s="1106" t="s">
        <v>1046</v>
      </c>
      <c r="E273" s="1107" t="s">
        <v>1210</v>
      </c>
      <c r="H273">
        <v>1</v>
      </c>
      <c r="I273" t="s">
        <v>1046</v>
      </c>
    </row>
    <row r="274" spans="1:9" ht="13.5" thickBot="1" x14ac:dyDescent="0.25">
      <c r="A274" s="1111"/>
      <c r="B274" s="1109" t="s">
        <v>1474</v>
      </c>
      <c r="C274" s="1110" t="s">
        <v>1051</v>
      </c>
      <c r="D274" s="1106" t="s">
        <v>1046</v>
      </c>
      <c r="E274" s="1107" t="s">
        <v>1210</v>
      </c>
      <c r="H274">
        <v>1</v>
      </c>
      <c r="I274" t="s">
        <v>1046</v>
      </c>
    </row>
    <row r="275" spans="1:9" ht="13.5" thickBot="1" x14ac:dyDescent="0.25">
      <c r="A275" s="1108">
        <v>183.08</v>
      </c>
      <c r="B275" s="1109" t="s">
        <v>1475</v>
      </c>
      <c r="C275" s="1110" t="s">
        <v>1476</v>
      </c>
      <c r="D275" s="1106" t="s">
        <v>1046</v>
      </c>
      <c r="E275" s="1107" t="s">
        <v>1210</v>
      </c>
      <c r="H275">
        <v>1</v>
      </c>
      <c r="I275" t="s">
        <v>1046</v>
      </c>
    </row>
    <row r="276" spans="1:9" ht="13.5" thickBot="1" x14ac:dyDescent="0.25">
      <c r="A276" s="1111"/>
      <c r="B276" s="1109" t="s">
        <v>1477</v>
      </c>
      <c r="C276" s="1110" t="s">
        <v>1051</v>
      </c>
      <c r="D276" s="1106" t="s">
        <v>1046</v>
      </c>
      <c r="E276" s="1107" t="s">
        <v>1210</v>
      </c>
      <c r="H276">
        <v>1</v>
      </c>
      <c r="I276" t="s">
        <v>1046</v>
      </c>
    </row>
    <row r="277" spans="1:9" ht="13.5" thickBot="1" x14ac:dyDescent="0.25">
      <c r="A277" s="1108">
        <v>183.09</v>
      </c>
      <c r="B277" s="1109" t="s">
        <v>1478</v>
      </c>
      <c r="C277" s="1110" t="s">
        <v>1479</v>
      </c>
      <c r="D277" s="1106" t="s">
        <v>1046</v>
      </c>
      <c r="E277" s="1107" t="s">
        <v>1210</v>
      </c>
      <c r="H277">
        <v>1</v>
      </c>
      <c r="I277" t="s">
        <v>1046</v>
      </c>
    </row>
    <row r="278" spans="1:9" ht="13.5" thickBot="1" x14ac:dyDescent="0.25">
      <c r="A278" s="1111"/>
      <c r="B278" s="1109" t="s">
        <v>1480</v>
      </c>
      <c r="C278" s="1110" t="s">
        <v>1051</v>
      </c>
      <c r="D278" s="1106" t="s">
        <v>1046</v>
      </c>
      <c r="E278" s="1107" t="s">
        <v>1210</v>
      </c>
      <c r="H278">
        <v>1</v>
      </c>
      <c r="I278" t="s">
        <v>1046</v>
      </c>
    </row>
    <row r="279" spans="1:9" ht="13.5" thickBot="1" x14ac:dyDescent="0.25">
      <c r="A279" s="1108">
        <v>183.1</v>
      </c>
      <c r="B279" s="1131" t="s">
        <v>1481</v>
      </c>
      <c r="C279" s="1132" t="s">
        <v>1482</v>
      </c>
      <c r="D279" s="1106" t="s">
        <v>1046</v>
      </c>
      <c r="E279" s="1107" t="s">
        <v>1210</v>
      </c>
      <c r="H279">
        <v>1</v>
      </c>
      <c r="I279" t="s">
        <v>1046</v>
      </c>
    </row>
    <row r="280" spans="1:9" ht="13.5" thickBot="1" x14ac:dyDescent="0.25">
      <c r="A280" s="1111"/>
      <c r="B280" s="1131" t="s">
        <v>1483</v>
      </c>
      <c r="C280" s="1132" t="s">
        <v>1051</v>
      </c>
      <c r="D280" s="1106" t="s">
        <v>1046</v>
      </c>
      <c r="E280" s="1107" t="s">
        <v>1210</v>
      </c>
      <c r="H280">
        <v>1</v>
      </c>
      <c r="I280" t="s">
        <v>1046</v>
      </c>
    </row>
    <row r="281" spans="1:9" ht="13.5" thickBot="1" x14ac:dyDescent="0.25">
      <c r="A281" s="1104" t="s">
        <v>1484</v>
      </c>
      <c r="B281" s="1104" t="s">
        <v>1485</v>
      </c>
      <c r="C281" s="1116" t="s">
        <v>1486</v>
      </c>
      <c r="D281" s="1106" t="s">
        <v>1046</v>
      </c>
      <c r="E281" s="1107" t="s">
        <v>1047</v>
      </c>
      <c r="H281">
        <v>1</v>
      </c>
      <c r="I281" t="s">
        <v>1046</v>
      </c>
    </row>
    <row r="282" spans="1:9" ht="13.5" thickBot="1" x14ac:dyDescent="0.25">
      <c r="A282" s="1108">
        <v>184.01</v>
      </c>
      <c r="B282" s="1109" t="s">
        <v>1487</v>
      </c>
      <c r="C282" s="1110" t="s">
        <v>1488</v>
      </c>
      <c r="D282" s="1106" t="s">
        <v>1046</v>
      </c>
      <c r="E282" s="1107" t="s">
        <v>1047</v>
      </c>
      <c r="H282">
        <v>1</v>
      </c>
      <c r="I282" t="s">
        <v>1046</v>
      </c>
    </row>
    <row r="283" spans="1:9" ht="13.5" thickBot="1" x14ac:dyDescent="0.25">
      <c r="A283" s="1111"/>
      <c r="B283" s="1109" t="s">
        <v>1489</v>
      </c>
      <c r="C283" s="1110" t="s">
        <v>1051</v>
      </c>
      <c r="D283" s="1106" t="s">
        <v>1046</v>
      </c>
      <c r="E283" s="1107" t="s">
        <v>1047</v>
      </c>
      <c r="H283">
        <v>1</v>
      </c>
      <c r="I283" t="s">
        <v>1046</v>
      </c>
    </row>
    <row r="284" spans="1:9" ht="13.5" thickBot="1" x14ac:dyDescent="0.25">
      <c r="A284" s="1108">
        <v>184.02</v>
      </c>
      <c r="B284" s="1109" t="s">
        <v>1490</v>
      </c>
      <c r="C284" s="1110" t="s">
        <v>1491</v>
      </c>
      <c r="D284" s="1106" t="s">
        <v>1046</v>
      </c>
      <c r="E284" s="1107" t="s">
        <v>1047</v>
      </c>
      <c r="H284">
        <v>1</v>
      </c>
      <c r="I284" t="s">
        <v>1046</v>
      </c>
    </row>
    <row r="285" spans="1:9" ht="13.5" thickBot="1" x14ac:dyDescent="0.25">
      <c r="A285" s="1111"/>
      <c r="B285" s="1109" t="s">
        <v>1492</v>
      </c>
      <c r="C285" s="1110" t="s">
        <v>1051</v>
      </c>
      <c r="D285" s="1106" t="s">
        <v>1046</v>
      </c>
      <c r="E285" s="1107" t="s">
        <v>1047</v>
      </c>
      <c r="H285">
        <v>1</v>
      </c>
      <c r="I285" t="s">
        <v>1046</v>
      </c>
    </row>
    <row r="286" spans="1:9" ht="13.5" thickBot="1" x14ac:dyDescent="0.25">
      <c r="A286" s="1108">
        <v>184.03</v>
      </c>
      <c r="B286" s="1109" t="s">
        <v>1493</v>
      </c>
      <c r="C286" s="1110" t="s">
        <v>1494</v>
      </c>
      <c r="D286" s="1106" t="s">
        <v>1046</v>
      </c>
      <c r="E286" s="1107" t="s">
        <v>1047</v>
      </c>
      <c r="H286">
        <v>1</v>
      </c>
      <c r="I286" t="s">
        <v>1046</v>
      </c>
    </row>
    <row r="287" spans="1:9" ht="13.5" thickBot="1" x14ac:dyDescent="0.25">
      <c r="A287" s="1111"/>
      <c r="B287" s="1109" t="s">
        <v>1495</v>
      </c>
      <c r="C287" s="1110" t="s">
        <v>1051</v>
      </c>
      <c r="D287" s="1106" t="s">
        <v>1046</v>
      </c>
      <c r="E287" s="1107" t="s">
        <v>1047</v>
      </c>
      <c r="H287">
        <v>1</v>
      </c>
      <c r="I287" t="s">
        <v>1046</v>
      </c>
    </row>
    <row r="288" spans="1:9" ht="13.5" thickBot="1" x14ac:dyDescent="0.25">
      <c r="A288" s="1104" t="s">
        <v>1496</v>
      </c>
      <c r="B288" s="1104" t="s">
        <v>1497</v>
      </c>
      <c r="C288" s="1116" t="s">
        <v>1498</v>
      </c>
      <c r="D288" s="1106" t="s">
        <v>1046</v>
      </c>
      <c r="E288" s="1107" t="s">
        <v>1047</v>
      </c>
      <c r="H288">
        <v>1</v>
      </c>
      <c r="I288" t="s">
        <v>1046</v>
      </c>
    </row>
    <row r="289" spans="1:9" ht="13.5" thickBot="1" x14ac:dyDescent="0.25">
      <c r="A289" s="1108">
        <v>185.01</v>
      </c>
      <c r="B289" s="1109" t="s">
        <v>1499</v>
      </c>
      <c r="C289" s="1110" t="s">
        <v>1500</v>
      </c>
      <c r="D289" s="1106" t="s">
        <v>1046</v>
      </c>
      <c r="E289" s="1107" t="s">
        <v>1047</v>
      </c>
      <c r="H289">
        <v>1</v>
      </c>
      <c r="I289" t="s">
        <v>1046</v>
      </c>
    </row>
    <row r="290" spans="1:9" ht="13.5" thickBot="1" x14ac:dyDescent="0.25">
      <c r="A290" s="1111"/>
      <c r="B290" s="1109" t="s">
        <v>1501</v>
      </c>
      <c r="C290" s="1110" t="s">
        <v>1051</v>
      </c>
      <c r="D290" s="1106" t="s">
        <v>1046</v>
      </c>
      <c r="E290" s="1107" t="s">
        <v>1047</v>
      </c>
      <c r="H290">
        <v>1</v>
      </c>
      <c r="I290" t="s">
        <v>1046</v>
      </c>
    </row>
    <row r="291" spans="1:9" ht="13.5" thickBot="1" x14ac:dyDescent="0.25">
      <c r="A291" s="1108">
        <v>187.01</v>
      </c>
      <c r="B291" s="1109" t="s">
        <v>1502</v>
      </c>
      <c r="C291" s="1110" t="s">
        <v>1503</v>
      </c>
      <c r="D291" s="1106" t="s">
        <v>1046</v>
      </c>
      <c r="E291" s="1107" t="s">
        <v>1047</v>
      </c>
      <c r="H291">
        <v>1</v>
      </c>
      <c r="I291" t="s">
        <v>1046</v>
      </c>
    </row>
    <row r="292" spans="1:9" x14ac:dyDescent="0.2">
      <c r="A292" s="1119"/>
      <c r="B292" s="1120" t="s">
        <v>1504</v>
      </c>
      <c r="C292" s="1121" t="s">
        <v>1051</v>
      </c>
      <c r="D292" s="1122" t="s">
        <v>1046</v>
      </c>
      <c r="E292" s="1123" t="s">
        <v>1047</v>
      </c>
      <c r="H292">
        <v>1</v>
      </c>
      <c r="I292" t="s">
        <v>1046</v>
      </c>
    </row>
    <row r="293" spans="1:9" s="1126" customFormat="1" x14ac:dyDescent="0.2">
      <c r="A293" s="1104">
        <v>186</v>
      </c>
      <c r="B293" s="1104" t="s">
        <v>1505</v>
      </c>
      <c r="C293" s="1124" t="s">
        <v>1506</v>
      </c>
      <c r="D293" s="1106" t="s">
        <v>1046</v>
      </c>
      <c r="E293" s="1107" t="s">
        <v>1047</v>
      </c>
      <c r="F293" s="1125"/>
      <c r="H293" s="1126">
        <v>1</v>
      </c>
      <c r="I293" s="1126" t="s">
        <v>1046</v>
      </c>
    </row>
    <row r="294" spans="1:9" ht="13.5" thickBot="1" x14ac:dyDescent="0.25">
      <c r="A294" s="1127">
        <v>186.01</v>
      </c>
      <c r="B294" s="1128" t="s">
        <v>1507</v>
      </c>
      <c r="C294" s="1110" t="s">
        <v>1508</v>
      </c>
      <c r="D294" s="1129" t="s">
        <v>1046</v>
      </c>
      <c r="E294" s="1130" t="s">
        <v>1047</v>
      </c>
      <c r="H294">
        <v>1</v>
      </c>
      <c r="I294" t="s">
        <v>1046</v>
      </c>
    </row>
    <row r="295" spans="1:9" ht="13.5" thickBot="1" x14ac:dyDescent="0.25">
      <c r="A295" s="1111"/>
      <c r="B295" s="1109" t="s">
        <v>1509</v>
      </c>
      <c r="C295" s="1110" t="s">
        <v>1051</v>
      </c>
      <c r="D295" s="1106" t="s">
        <v>1046</v>
      </c>
      <c r="E295" s="1107" t="s">
        <v>1047</v>
      </c>
      <c r="H295">
        <v>1</v>
      </c>
      <c r="I295" t="s">
        <v>1046</v>
      </c>
    </row>
    <row r="296" spans="1:9" ht="13.5" thickBot="1" x14ac:dyDescent="0.25">
      <c r="A296" s="1108">
        <v>186.02</v>
      </c>
      <c r="B296" s="1109" t="s">
        <v>1510</v>
      </c>
      <c r="C296" s="1110" t="s">
        <v>1511</v>
      </c>
      <c r="D296" s="1106" t="s">
        <v>1046</v>
      </c>
      <c r="E296" s="1107" t="s">
        <v>1047</v>
      </c>
      <c r="H296">
        <v>1</v>
      </c>
      <c r="I296" t="s">
        <v>1046</v>
      </c>
    </row>
    <row r="297" spans="1:9" ht="13.5" thickBot="1" x14ac:dyDescent="0.25">
      <c r="A297" s="1111"/>
      <c r="B297" s="1109" t="s">
        <v>1512</v>
      </c>
      <c r="C297" s="1110" t="s">
        <v>1051</v>
      </c>
      <c r="D297" s="1106" t="s">
        <v>1046</v>
      </c>
      <c r="E297" s="1107" t="s">
        <v>1047</v>
      </c>
      <c r="H297">
        <v>1</v>
      </c>
      <c r="I297" t="s">
        <v>1046</v>
      </c>
    </row>
    <row r="298" spans="1:9" ht="13.5" thickBot="1" x14ac:dyDescent="0.25">
      <c r="A298" s="1108">
        <v>186.03</v>
      </c>
      <c r="B298" s="1109" t="s">
        <v>1513</v>
      </c>
      <c r="C298" s="1110" t="s">
        <v>1514</v>
      </c>
      <c r="D298" s="1106" t="s">
        <v>1046</v>
      </c>
      <c r="E298" s="1107" t="s">
        <v>1047</v>
      </c>
      <c r="H298">
        <v>1</v>
      </c>
      <c r="I298" t="s">
        <v>1046</v>
      </c>
    </row>
    <row r="299" spans="1:9" ht="13.5" thickBot="1" x14ac:dyDescent="0.25">
      <c r="A299" s="1111"/>
      <c r="B299" s="1109" t="s">
        <v>1515</v>
      </c>
      <c r="C299" s="1110" t="s">
        <v>1051</v>
      </c>
      <c r="D299" s="1106" t="s">
        <v>1046</v>
      </c>
      <c r="E299" s="1107" t="s">
        <v>1047</v>
      </c>
      <c r="H299">
        <v>1</v>
      </c>
      <c r="I299" t="s">
        <v>1046</v>
      </c>
    </row>
    <row r="300" spans="1:9" ht="13.5" thickBot="1" x14ac:dyDescent="0.25">
      <c r="A300" s="1108">
        <v>186.04</v>
      </c>
      <c r="B300" s="1109" t="s">
        <v>1516</v>
      </c>
      <c r="C300" s="1110" t="s">
        <v>1517</v>
      </c>
      <c r="D300" s="1106" t="s">
        <v>1046</v>
      </c>
      <c r="E300" s="1107" t="s">
        <v>1047</v>
      </c>
      <c r="H300">
        <v>1</v>
      </c>
      <c r="I300" t="s">
        <v>1046</v>
      </c>
    </row>
    <row r="301" spans="1:9" ht="13.5" thickBot="1" x14ac:dyDescent="0.25">
      <c r="A301" s="1111"/>
      <c r="B301" s="1109" t="s">
        <v>1518</v>
      </c>
      <c r="C301" s="1110" t="s">
        <v>1051</v>
      </c>
      <c r="D301" s="1106" t="s">
        <v>1046</v>
      </c>
      <c r="E301" s="1107" t="s">
        <v>1047</v>
      </c>
      <c r="H301">
        <v>1</v>
      </c>
      <c r="I301" t="s">
        <v>1046</v>
      </c>
    </row>
    <row r="302" spans="1:9" ht="13.5" thickBot="1" x14ac:dyDescent="0.25">
      <c r="A302" s="1108">
        <v>186.05</v>
      </c>
      <c r="B302" s="1109" t="s">
        <v>1519</v>
      </c>
      <c r="C302" s="1110" t="s">
        <v>1520</v>
      </c>
      <c r="D302" s="1106" t="s">
        <v>1046</v>
      </c>
      <c r="E302" s="1107" t="s">
        <v>1047</v>
      </c>
      <c r="H302">
        <v>1</v>
      </c>
      <c r="I302" t="s">
        <v>1046</v>
      </c>
    </row>
    <row r="303" spans="1:9" ht="13.5" thickBot="1" x14ac:dyDescent="0.25">
      <c r="A303" s="1111"/>
      <c r="B303" s="1109" t="s">
        <v>1521</v>
      </c>
      <c r="C303" s="1110" t="s">
        <v>1051</v>
      </c>
      <c r="D303" s="1106" t="s">
        <v>1046</v>
      </c>
      <c r="E303" s="1107" t="s">
        <v>1047</v>
      </c>
      <c r="H303">
        <v>1</v>
      </c>
      <c r="I303" t="s">
        <v>1046</v>
      </c>
    </row>
    <row r="304" spans="1:9" ht="13.5" thickBot="1" x14ac:dyDescent="0.25">
      <c r="A304" s="1108">
        <v>186.06</v>
      </c>
      <c r="B304" s="1109" t="s">
        <v>1522</v>
      </c>
      <c r="C304" s="1110" t="s">
        <v>1523</v>
      </c>
      <c r="D304" s="1106" t="s">
        <v>1046</v>
      </c>
      <c r="E304" s="1107" t="s">
        <v>1047</v>
      </c>
      <c r="H304">
        <v>1</v>
      </c>
      <c r="I304" t="s">
        <v>1046</v>
      </c>
    </row>
    <row r="305" spans="1:9" ht="13.5" thickBot="1" x14ac:dyDescent="0.25">
      <c r="A305" s="1111"/>
      <c r="B305" s="1109" t="s">
        <v>1524</v>
      </c>
      <c r="C305" s="1110" t="s">
        <v>1051</v>
      </c>
      <c r="D305" s="1106" t="s">
        <v>1046</v>
      </c>
      <c r="E305" s="1107" t="s">
        <v>1047</v>
      </c>
      <c r="H305">
        <v>1</v>
      </c>
      <c r="I305" t="s">
        <v>1046</v>
      </c>
    </row>
    <row r="306" spans="1:9" ht="13.5" thickBot="1" x14ac:dyDescent="0.25">
      <c r="A306" s="1108">
        <v>186.07</v>
      </c>
      <c r="B306" s="1109" t="s">
        <v>1525</v>
      </c>
      <c r="C306" s="1110" t="s">
        <v>1526</v>
      </c>
      <c r="D306" s="1106" t="s">
        <v>1046</v>
      </c>
      <c r="E306" s="1107" t="s">
        <v>1047</v>
      </c>
      <c r="H306">
        <v>1</v>
      </c>
      <c r="I306" t="s">
        <v>1046</v>
      </c>
    </row>
    <row r="307" spans="1:9" ht="13.5" thickBot="1" x14ac:dyDescent="0.25">
      <c r="A307" s="1111"/>
      <c r="B307" s="1109" t="s">
        <v>1527</v>
      </c>
      <c r="C307" s="1110" t="s">
        <v>1051</v>
      </c>
      <c r="D307" s="1106" t="s">
        <v>1046</v>
      </c>
      <c r="E307" s="1107" t="s">
        <v>1047</v>
      </c>
      <c r="H307">
        <v>1</v>
      </c>
      <c r="I307" t="s">
        <v>1046</v>
      </c>
    </row>
    <row r="308" spans="1:9" ht="13.5" thickBot="1" x14ac:dyDescent="0.25">
      <c r="A308" s="1108">
        <v>186.08</v>
      </c>
      <c r="B308" s="1109" t="s">
        <v>1528</v>
      </c>
      <c r="C308" s="1110" t="s">
        <v>1529</v>
      </c>
      <c r="D308" s="1106" t="s">
        <v>1046</v>
      </c>
      <c r="E308" s="1107" t="s">
        <v>1047</v>
      </c>
      <c r="H308">
        <v>1</v>
      </c>
      <c r="I308" t="s">
        <v>1046</v>
      </c>
    </row>
    <row r="309" spans="1:9" ht="13.5" thickBot="1" x14ac:dyDescent="0.25">
      <c r="A309" s="1111"/>
      <c r="B309" s="1109" t="s">
        <v>1530</v>
      </c>
      <c r="C309" s="1110" t="s">
        <v>1051</v>
      </c>
      <c r="D309" s="1106" t="s">
        <v>1046</v>
      </c>
      <c r="E309" s="1107" t="s">
        <v>1047</v>
      </c>
      <c r="H309">
        <v>1</v>
      </c>
      <c r="I309" t="s">
        <v>1046</v>
      </c>
    </row>
    <row r="310" spans="1:9" ht="13.5" thickBot="1" x14ac:dyDescent="0.25">
      <c r="A310" s="1108">
        <v>186.09</v>
      </c>
      <c r="B310" s="1109" t="s">
        <v>1531</v>
      </c>
      <c r="C310" s="1110" t="s">
        <v>1532</v>
      </c>
      <c r="D310" s="1106" t="s">
        <v>1046</v>
      </c>
      <c r="E310" s="1107" t="s">
        <v>1047</v>
      </c>
      <c r="H310">
        <v>1</v>
      </c>
      <c r="I310" t="s">
        <v>1046</v>
      </c>
    </row>
    <row r="311" spans="1:9" ht="13.5" thickBot="1" x14ac:dyDescent="0.25">
      <c r="A311" s="1111"/>
      <c r="B311" s="1109" t="s">
        <v>1533</v>
      </c>
      <c r="C311" s="1110" t="s">
        <v>1051</v>
      </c>
      <c r="D311" s="1106" t="s">
        <v>1046</v>
      </c>
      <c r="E311" s="1107" t="s">
        <v>1047</v>
      </c>
      <c r="H311">
        <v>1</v>
      </c>
      <c r="I311" t="s">
        <v>1046</v>
      </c>
    </row>
    <row r="312" spans="1:9" ht="13.5" thickBot="1" x14ac:dyDescent="0.25">
      <c r="A312" s="1108">
        <v>186.1</v>
      </c>
      <c r="B312" s="1131" t="s">
        <v>1534</v>
      </c>
      <c r="C312" s="1132" t="s">
        <v>1535</v>
      </c>
      <c r="D312" s="1106" t="s">
        <v>1046</v>
      </c>
      <c r="E312" s="1107" t="s">
        <v>1047</v>
      </c>
      <c r="H312">
        <v>1</v>
      </c>
      <c r="I312" t="s">
        <v>1046</v>
      </c>
    </row>
    <row r="313" spans="1:9" ht="13.5" thickBot="1" x14ac:dyDescent="0.25">
      <c r="A313" s="1108"/>
      <c r="B313" s="1131" t="s">
        <v>1536</v>
      </c>
      <c r="C313" s="1132" t="s">
        <v>1051</v>
      </c>
      <c r="D313" s="1106"/>
      <c r="E313" s="1107" t="s">
        <v>1047</v>
      </c>
      <c r="H313">
        <v>1</v>
      </c>
      <c r="I313" t="s">
        <v>1046</v>
      </c>
    </row>
    <row r="314" spans="1:9" ht="18.75" customHeight="1" thickBot="1" x14ac:dyDescent="0.25">
      <c r="A314" s="1104" t="s">
        <v>1537</v>
      </c>
      <c r="B314" s="1104" t="s">
        <v>1538</v>
      </c>
      <c r="C314" s="1116" t="s">
        <v>1539</v>
      </c>
      <c r="D314" s="1106" t="s">
        <v>1046</v>
      </c>
      <c r="E314" s="1107" t="s">
        <v>1047</v>
      </c>
      <c r="H314">
        <v>1</v>
      </c>
      <c r="I314" t="s">
        <v>1046</v>
      </c>
    </row>
    <row r="315" spans="1:9" ht="13.5" thickBot="1" x14ac:dyDescent="0.25">
      <c r="A315" s="1108">
        <v>188.01</v>
      </c>
      <c r="B315" s="1109" t="s">
        <v>1540</v>
      </c>
      <c r="C315" s="1110" t="s">
        <v>1541</v>
      </c>
      <c r="D315" s="1106" t="s">
        <v>1046</v>
      </c>
      <c r="E315" s="1107" t="s">
        <v>1047</v>
      </c>
      <c r="H315">
        <v>1</v>
      </c>
      <c r="I315" t="s">
        <v>1046</v>
      </c>
    </row>
    <row r="316" spans="1:9" ht="13.5" thickBot="1" x14ac:dyDescent="0.25">
      <c r="A316" s="1111"/>
      <c r="B316" s="1109" t="s">
        <v>1542</v>
      </c>
      <c r="C316" s="1110" t="s">
        <v>1051</v>
      </c>
      <c r="D316" s="1106" t="s">
        <v>1046</v>
      </c>
      <c r="E316" s="1107" t="s">
        <v>1047</v>
      </c>
      <c r="H316">
        <v>1</v>
      </c>
      <c r="I316" t="s">
        <v>1046</v>
      </c>
    </row>
    <row r="317" spans="1:9" ht="13.5" thickBot="1" x14ac:dyDescent="0.25">
      <c r="A317" s="1108">
        <v>188.02</v>
      </c>
      <c r="B317" s="1109" t="s">
        <v>1543</v>
      </c>
      <c r="C317" s="1110" t="s">
        <v>1544</v>
      </c>
      <c r="D317" s="1106" t="s">
        <v>1046</v>
      </c>
      <c r="E317" s="1107" t="s">
        <v>1047</v>
      </c>
      <c r="H317">
        <v>1</v>
      </c>
      <c r="I317" t="s">
        <v>1046</v>
      </c>
    </row>
    <row r="318" spans="1:9" ht="13.5" thickBot="1" x14ac:dyDescent="0.25">
      <c r="A318" s="1111"/>
      <c r="B318" s="1109" t="s">
        <v>1545</v>
      </c>
      <c r="C318" s="1110" t="s">
        <v>1051</v>
      </c>
      <c r="D318" s="1106" t="s">
        <v>1046</v>
      </c>
      <c r="E318" s="1107" t="s">
        <v>1047</v>
      </c>
      <c r="H318">
        <v>1</v>
      </c>
      <c r="I318" t="s">
        <v>1046</v>
      </c>
    </row>
    <row r="319" spans="1:9" ht="23.25" thickBot="1" x14ac:dyDescent="0.25">
      <c r="A319" s="1108">
        <v>188.03</v>
      </c>
      <c r="B319" s="1109" t="s">
        <v>1546</v>
      </c>
      <c r="C319" s="1110" t="s">
        <v>1547</v>
      </c>
      <c r="D319" s="1106" t="s">
        <v>1046</v>
      </c>
      <c r="E319" s="1107" t="s">
        <v>1047</v>
      </c>
      <c r="H319">
        <v>1</v>
      </c>
      <c r="I319" t="s">
        <v>1046</v>
      </c>
    </row>
    <row r="320" spans="1:9" ht="13.5" thickBot="1" x14ac:dyDescent="0.25">
      <c r="A320" s="1111"/>
      <c r="B320" s="1109" t="s">
        <v>1548</v>
      </c>
      <c r="C320" s="1110" t="s">
        <v>1051</v>
      </c>
      <c r="D320" s="1106" t="s">
        <v>1046</v>
      </c>
      <c r="E320" s="1107" t="s">
        <v>1047</v>
      </c>
      <c r="H320">
        <v>1</v>
      </c>
      <c r="I320" t="s">
        <v>1046</v>
      </c>
    </row>
    <row r="321" spans="1:9" ht="15" customHeight="1" thickBot="1" x14ac:dyDescent="0.25">
      <c r="A321" s="1104" t="s">
        <v>1549</v>
      </c>
      <c r="B321" s="1104" t="s">
        <v>1550</v>
      </c>
      <c r="C321" s="1116" t="s">
        <v>1551</v>
      </c>
      <c r="D321" s="1106" t="s">
        <v>1046</v>
      </c>
      <c r="E321" s="1107" t="s">
        <v>1210</v>
      </c>
      <c r="H321">
        <v>1</v>
      </c>
      <c r="I321" t="s">
        <v>1046</v>
      </c>
    </row>
    <row r="322" spans="1:9" ht="13.5" thickBot="1" x14ac:dyDescent="0.25">
      <c r="A322" s="1108">
        <v>189.01</v>
      </c>
      <c r="B322" s="1109" t="s">
        <v>1552</v>
      </c>
      <c r="C322" s="1110" t="s">
        <v>1553</v>
      </c>
      <c r="D322" s="1106" t="s">
        <v>1046</v>
      </c>
      <c r="E322" s="1107" t="s">
        <v>1210</v>
      </c>
      <c r="H322">
        <v>1</v>
      </c>
      <c r="I322" t="s">
        <v>1046</v>
      </c>
    </row>
    <row r="323" spans="1:9" x14ac:dyDescent="0.2">
      <c r="A323" s="1119"/>
      <c r="B323" s="1120" t="s">
        <v>1554</v>
      </c>
      <c r="C323" s="1121" t="s">
        <v>1051</v>
      </c>
      <c r="D323" s="1122" t="s">
        <v>1046</v>
      </c>
      <c r="E323" s="1123" t="s">
        <v>1047</v>
      </c>
      <c r="H323">
        <v>1</v>
      </c>
      <c r="I323" t="s">
        <v>1046</v>
      </c>
    </row>
    <row r="324" spans="1:9" s="1126" customFormat="1" x14ac:dyDescent="0.2">
      <c r="A324" s="1104" t="s">
        <v>1555</v>
      </c>
      <c r="B324" s="1104" t="s">
        <v>1556</v>
      </c>
      <c r="C324" s="1124" t="s">
        <v>1557</v>
      </c>
      <c r="D324" s="1106" t="s">
        <v>1046</v>
      </c>
      <c r="E324" s="1139" t="s">
        <v>1210</v>
      </c>
      <c r="F324" s="1140"/>
      <c r="G324" s="1141"/>
      <c r="H324" s="1141">
        <v>1</v>
      </c>
      <c r="I324" s="1141" t="s">
        <v>1046</v>
      </c>
    </row>
    <row r="325" spans="1:9" ht="13.5" thickBot="1" x14ac:dyDescent="0.25">
      <c r="A325" s="1127">
        <v>201.01</v>
      </c>
      <c r="B325" s="1128" t="s">
        <v>1558</v>
      </c>
      <c r="C325" s="1110" t="s">
        <v>1559</v>
      </c>
      <c r="D325" s="1129" t="s">
        <v>1046</v>
      </c>
      <c r="E325" s="1130" t="s">
        <v>1210</v>
      </c>
      <c r="H325">
        <v>1</v>
      </c>
      <c r="I325" t="s">
        <v>1046</v>
      </c>
    </row>
    <row r="326" spans="1:9" ht="13.5" thickBot="1" x14ac:dyDescent="0.25">
      <c r="A326" s="1111"/>
      <c r="B326" s="1109" t="s">
        <v>1560</v>
      </c>
      <c r="C326" s="1110" t="s">
        <v>1051</v>
      </c>
      <c r="D326" s="1106" t="s">
        <v>1046</v>
      </c>
      <c r="E326" s="1107" t="s">
        <v>1210</v>
      </c>
      <c r="H326">
        <v>1</v>
      </c>
      <c r="I326" t="s">
        <v>1046</v>
      </c>
    </row>
    <row r="327" spans="1:9" ht="13.5" thickBot="1" x14ac:dyDescent="0.25">
      <c r="A327" s="1108">
        <v>201.02</v>
      </c>
      <c r="B327" s="1109" t="s">
        <v>1561</v>
      </c>
      <c r="C327" s="1110" t="s">
        <v>1562</v>
      </c>
      <c r="D327" s="1106" t="s">
        <v>1046</v>
      </c>
      <c r="E327" s="1107" t="s">
        <v>1210</v>
      </c>
      <c r="H327">
        <v>1</v>
      </c>
      <c r="I327" t="s">
        <v>1046</v>
      </c>
    </row>
    <row r="328" spans="1:9" ht="13.5" thickBot="1" x14ac:dyDescent="0.25">
      <c r="A328" s="1111"/>
      <c r="B328" s="1109" t="s">
        <v>1563</v>
      </c>
      <c r="C328" s="1110" t="s">
        <v>1051</v>
      </c>
      <c r="D328" s="1106" t="s">
        <v>1046</v>
      </c>
      <c r="E328" s="1107" t="s">
        <v>1210</v>
      </c>
      <c r="H328">
        <v>1</v>
      </c>
      <c r="I328" t="s">
        <v>1046</v>
      </c>
    </row>
    <row r="329" spans="1:9" ht="23.25" thickBot="1" x14ac:dyDescent="0.25">
      <c r="A329" s="1108">
        <v>201.03</v>
      </c>
      <c r="B329" s="1109" t="s">
        <v>1564</v>
      </c>
      <c r="C329" s="1110" t="s">
        <v>1565</v>
      </c>
      <c r="D329" s="1106" t="s">
        <v>1046</v>
      </c>
      <c r="E329" s="1107" t="s">
        <v>1210</v>
      </c>
      <c r="H329">
        <v>1</v>
      </c>
      <c r="I329" t="s">
        <v>1046</v>
      </c>
    </row>
    <row r="330" spans="1:9" ht="13.5" thickBot="1" x14ac:dyDescent="0.25">
      <c r="A330" s="1111"/>
      <c r="B330" s="1109" t="s">
        <v>1566</v>
      </c>
      <c r="C330" s="1110" t="s">
        <v>1051</v>
      </c>
      <c r="D330" s="1106" t="s">
        <v>1046</v>
      </c>
      <c r="E330" s="1107" t="s">
        <v>1210</v>
      </c>
      <c r="H330">
        <v>1</v>
      </c>
      <c r="I330" t="s">
        <v>1046</v>
      </c>
    </row>
    <row r="331" spans="1:9" ht="23.25" thickBot="1" x14ac:dyDescent="0.25">
      <c r="A331" s="1108">
        <v>201.04</v>
      </c>
      <c r="B331" s="1109" t="s">
        <v>1567</v>
      </c>
      <c r="C331" s="1110" t="s">
        <v>1568</v>
      </c>
      <c r="D331" s="1106" t="s">
        <v>1046</v>
      </c>
      <c r="E331" s="1107" t="s">
        <v>1210</v>
      </c>
      <c r="H331">
        <v>1</v>
      </c>
      <c r="I331" t="s">
        <v>1046</v>
      </c>
    </row>
    <row r="332" spans="1:9" ht="13.5" thickBot="1" x14ac:dyDescent="0.25">
      <c r="A332" s="1111"/>
      <c r="B332" s="1109" t="s">
        <v>1569</v>
      </c>
      <c r="C332" s="1110" t="s">
        <v>1051</v>
      </c>
      <c r="D332" s="1106" t="s">
        <v>1046</v>
      </c>
      <c r="E332" s="1107" t="s">
        <v>1210</v>
      </c>
      <c r="H332">
        <v>1</v>
      </c>
      <c r="I332" t="s">
        <v>1046</v>
      </c>
    </row>
    <row r="333" spans="1:9" ht="13.5" thickBot="1" x14ac:dyDescent="0.25">
      <c r="A333" s="1104" t="s">
        <v>1570</v>
      </c>
      <c r="B333" s="1104" t="s">
        <v>1571</v>
      </c>
      <c r="C333" s="1116" t="s">
        <v>1572</v>
      </c>
      <c r="D333" s="1106" t="s">
        <v>1046</v>
      </c>
      <c r="E333" s="1107" t="s">
        <v>1210</v>
      </c>
      <c r="H333">
        <v>1</v>
      </c>
      <c r="I333" t="s">
        <v>1046</v>
      </c>
    </row>
    <row r="334" spans="1:9" ht="13.5" thickBot="1" x14ac:dyDescent="0.25">
      <c r="A334" s="1108">
        <v>202.01</v>
      </c>
      <c r="B334" s="1109" t="s">
        <v>1573</v>
      </c>
      <c r="C334" s="1110" t="s">
        <v>1574</v>
      </c>
      <c r="D334" s="1106" t="s">
        <v>1046</v>
      </c>
      <c r="E334" s="1107" t="s">
        <v>1210</v>
      </c>
      <c r="H334">
        <v>1</v>
      </c>
      <c r="I334" t="s">
        <v>1046</v>
      </c>
    </row>
    <row r="335" spans="1:9" ht="13.5" thickBot="1" x14ac:dyDescent="0.25">
      <c r="A335" s="1111"/>
      <c r="B335" s="1109" t="s">
        <v>1575</v>
      </c>
      <c r="C335" s="1110" t="s">
        <v>1051</v>
      </c>
      <c r="D335" s="1106" t="s">
        <v>1046</v>
      </c>
      <c r="E335" s="1107" t="s">
        <v>1210</v>
      </c>
      <c r="H335">
        <v>1</v>
      </c>
      <c r="I335" t="s">
        <v>1046</v>
      </c>
    </row>
    <row r="336" spans="1:9" ht="13.5" thickBot="1" x14ac:dyDescent="0.25">
      <c r="A336" s="1108">
        <v>202.02</v>
      </c>
      <c r="B336" s="1109" t="s">
        <v>1576</v>
      </c>
      <c r="C336" s="1110" t="s">
        <v>1577</v>
      </c>
      <c r="D336" s="1106" t="s">
        <v>1046</v>
      </c>
      <c r="E336" s="1107" t="s">
        <v>1210</v>
      </c>
      <c r="H336">
        <v>1</v>
      </c>
      <c r="I336" t="s">
        <v>1046</v>
      </c>
    </row>
    <row r="337" spans="1:9" ht="13.5" thickBot="1" x14ac:dyDescent="0.25">
      <c r="A337" s="1111"/>
      <c r="B337" s="1109" t="s">
        <v>1578</v>
      </c>
      <c r="C337" s="1110" t="s">
        <v>1051</v>
      </c>
      <c r="D337" s="1106" t="s">
        <v>1046</v>
      </c>
      <c r="E337" s="1107" t="s">
        <v>1210</v>
      </c>
      <c r="H337">
        <v>1</v>
      </c>
      <c r="I337" t="s">
        <v>1046</v>
      </c>
    </row>
    <row r="338" spans="1:9" ht="13.5" thickBot="1" x14ac:dyDescent="0.25">
      <c r="A338" s="1108">
        <v>202.03</v>
      </c>
      <c r="B338" s="1109" t="s">
        <v>1579</v>
      </c>
      <c r="C338" s="1110" t="s">
        <v>1580</v>
      </c>
      <c r="D338" s="1106" t="s">
        <v>1046</v>
      </c>
      <c r="E338" s="1107" t="s">
        <v>1210</v>
      </c>
      <c r="H338">
        <v>1</v>
      </c>
      <c r="I338" t="s">
        <v>1046</v>
      </c>
    </row>
    <row r="339" spans="1:9" ht="13.5" thickBot="1" x14ac:dyDescent="0.25">
      <c r="A339" s="1111"/>
      <c r="B339" s="1109" t="s">
        <v>1581</v>
      </c>
      <c r="C339" s="1110" t="s">
        <v>1051</v>
      </c>
      <c r="D339" s="1106" t="s">
        <v>1046</v>
      </c>
      <c r="E339" s="1107" t="s">
        <v>1210</v>
      </c>
      <c r="H339">
        <v>1</v>
      </c>
      <c r="I339" t="s">
        <v>1046</v>
      </c>
    </row>
    <row r="340" spans="1:9" ht="13.5" thickBot="1" x14ac:dyDescent="0.25">
      <c r="A340" s="1108">
        <v>202.04</v>
      </c>
      <c r="B340" s="1109" t="s">
        <v>1582</v>
      </c>
      <c r="C340" s="1110" t="s">
        <v>1583</v>
      </c>
      <c r="D340" s="1106" t="s">
        <v>1046</v>
      </c>
      <c r="E340" s="1107" t="s">
        <v>1210</v>
      </c>
      <c r="H340">
        <v>1</v>
      </c>
      <c r="I340" t="s">
        <v>1046</v>
      </c>
    </row>
    <row r="341" spans="1:9" ht="13.5" thickBot="1" x14ac:dyDescent="0.25">
      <c r="A341" s="1111"/>
      <c r="B341" s="1109" t="s">
        <v>1584</v>
      </c>
      <c r="C341" s="1110" t="s">
        <v>1051</v>
      </c>
      <c r="D341" s="1106" t="s">
        <v>1046</v>
      </c>
      <c r="E341" s="1107" t="s">
        <v>1210</v>
      </c>
      <c r="H341">
        <v>1</v>
      </c>
      <c r="I341" t="s">
        <v>1046</v>
      </c>
    </row>
    <row r="342" spans="1:9" ht="13.5" thickBot="1" x14ac:dyDescent="0.25">
      <c r="A342" s="1108">
        <v>202.05</v>
      </c>
      <c r="B342" s="1109" t="s">
        <v>1585</v>
      </c>
      <c r="C342" s="1110" t="s">
        <v>1586</v>
      </c>
      <c r="D342" s="1106" t="s">
        <v>1046</v>
      </c>
      <c r="E342" s="1107" t="s">
        <v>1210</v>
      </c>
      <c r="H342">
        <v>1</v>
      </c>
      <c r="I342" t="s">
        <v>1046</v>
      </c>
    </row>
    <row r="343" spans="1:9" ht="13.5" thickBot="1" x14ac:dyDescent="0.25">
      <c r="A343" s="1111"/>
      <c r="B343" s="1109" t="s">
        <v>1587</v>
      </c>
      <c r="C343" s="1110" t="s">
        <v>1051</v>
      </c>
      <c r="D343" s="1106" t="s">
        <v>1046</v>
      </c>
      <c r="E343" s="1107" t="s">
        <v>1210</v>
      </c>
      <c r="H343">
        <v>1</v>
      </c>
      <c r="I343" t="s">
        <v>1046</v>
      </c>
    </row>
    <row r="344" spans="1:9" ht="13.5" thickBot="1" x14ac:dyDescent="0.25">
      <c r="A344" s="1108">
        <v>202.06</v>
      </c>
      <c r="B344" s="1109" t="s">
        <v>1588</v>
      </c>
      <c r="C344" s="1110" t="s">
        <v>1589</v>
      </c>
      <c r="D344" s="1106" t="s">
        <v>1046</v>
      </c>
      <c r="E344" s="1107" t="s">
        <v>1210</v>
      </c>
      <c r="H344">
        <v>1</v>
      </c>
      <c r="I344" t="s">
        <v>1046</v>
      </c>
    </row>
    <row r="345" spans="1:9" ht="13.5" thickBot="1" x14ac:dyDescent="0.25">
      <c r="A345" s="1111"/>
      <c r="B345" s="1109" t="s">
        <v>1590</v>
      </c>
      <c r="C345" s="1110" t="s">
        <v>1051</v>
      </c>
      <c r="D345" s="1106" t="s">
        <v>1046</v>
      </c>
      <c r="E345" s="1107" t="s">
        <v>1210</v>
      </c>
      <c r="H345">
        <v>1</v>
      </c>
      <c r="I345" t="s">
        <v>1046</v>
      </c>
    </row>
    <row r="346" spans="1:9" ht="13.5" thickBot="1" x14ac:dyDescent="0.25">
      <c r="A346" s="1108">
        <v>202.07</v>
      </c>
      <c r="B346" s="1109" t="s">
        <v>1591</v>
      </c>
      <c r="C346" s="1110" t="s">
        <v>1592</v>
      </c>
      <c r="D346" s="1106" t="s">
        <v>1046</v>
      </c>
      <c r="E346" s="1107" t="s">
        <v>1210</v>
      </c>
      <c r="H346">
        <v>1</v>
      </c>
      <c r="I346" t="s">
        <v>1046</v>
      </c>
    </row>
    <row r="347" spans="1:9" ht="13.5" thickBot="1" x14ac:dyDescent="0.25">
      <c r="A347" s="1111"/>
      <c r="B347" s="1109" t="s">
        <v>1593</v>
      </c>
      <c r="C347" s="1110" t="s">
        <v>1051</v>
      </c>
      <c r="D347" s="1106" t="s">
        <v>1046</v>
      </c>
      <c r="E347" s="1107" t="s">
        <v>1210</v>
      </c>
      <c r="H347">
        <v>1</v>
      </c>
      <c r="I347" t="s">
        <v>1046</v>
      </c>
    </row>
    <row r="348" spans="1:9" ht="13.5" thickBot="1" x14ac:dyDescent="0.25">
      <c r="A348" s="1108">
        <v>202.08</v>
      </c>
      <c r="B348" s="1109" t="s">
        <v>1594</v>
      </c>
      <c r="C348" s="1110" t="s">
        <v>1595</v>
      </c>
      <c r="D348" s="1106" t="s">
        <v>1046</v>
      </c>
      <c r="E348" s="1107" t="s">
        <v>1210</v>
      </c>
      <c r="H348">
        <v>1</v>
      </c>
      <c r="I348" t="s">
        <v>1046</v>
      </c>
    </row>
    <row r="349" spans="1:9" ht="13.5" thickBot="1" x14ac:dyDescent="0.25">
      <c r="A349" s="1111"/>
      <c r="B349" s="1109" t="s">
        <v>1596</v>
      </c>
      <c r="C349" s="1110" t="s">
        <v>1051</v>
      </c>
      <c r="D349" s="1106" t="s">
        <v>1046</v>
      </c>
      <c r="E349" s="1107" t="s">
        <v>1210</v>
      </c>
      <c r="H349">
        <v>1</v>
      </c>
      <c r="I349" t="s">
        <v>1046</v>
      </c>
    </row>
    <row r="350" spans="1:9" ht="13.5" thickBot="1" x14ac:dyDescent="0.25">
      <c r="A350" s="1108">
        <v>202.09</v>
      </c>
      <c r="B350" s="1109" t="s">
        <v>1597</v>
      </c>
      <c r="C350" s="1110" t="s">
        <v>1598</v>
      </c>
      <c r="D350" s="1106" t="s">
        <v>1046</v>
      </c>
      <c r="E350" s="1107" t="s">
        <v>1210</v>
      </c>
      <c r="H350">
        <v>1</v>
      </c>
      <c r="I350" t="s">
        <v>1046</v>
      </c>
    </row>
    <row r="351" spans="1:9" ht="13.5" thickBot="1" x14ac:dyDescent="0.25">
      <c r="A351" s="1111"/>
      <c r="B351" s="1109" t="s">
        <v>1599</v>
      </c>
      <c r="C351" s="1110" t="s">
        <v>1051</v>
      </c>
      <c r="D351" s="1106" t="s">
        <v>1046</v>
      </c>
      <c r="E351" s="1107" t="s">
        <v>1210</v>
      </c>
      <c r="H351">
        <v>1</v>
      </c>
      <c r="I351" t="s">
        <v>1046</v>
      </c>
    </row>
    <row r="352" spans="1:9" ht="13.5" thickBot="1" x14ac:dyDescent="0.25">
      <c r="A352" s="1108">
        <v>202.1</v>
      </c>
      <c r="B352" s="1131" t="s">
        <v>1600</v>
      </c>
      <c r="C352" s="1132" t="s">
        <v>1601</v>
      </c>
      <c r="D352" s="1106" t="s">
        <v>1046</v>
      </c>
      <c r="E352" s="1107" t="s">
        <v>1210</v>
      </c>
      <c r="H352">
        <v>1</v>
      </c>
      <c r="I352" t="s">
        <v>1046</v>
      </c>
    </row>
    <row r="353" spans="1:9" ht="13.5" thickBot="1" x14ac:dyDescent="0.25">
      <c r="A353" s="1111"/>
      <c r="B353" s="1131" t="s">
        <v>1602</v>
      </c>
      <c r="C353" s="1132" t="s">
        <v>1051</v>
      </c>
      <c r="D353" s="1106" t="s">
        <v>1046</v>
      </c>
      <c r="E353" s="1107" t="s">
        <v>1210</v>
      </c>
      <c r="H353">
        <v>1</v>
      </c>
      <c r="I353" t="s">
        <v>1046</v>
      </c>
    </row>
    <row r="354" spans="1:9" ht="13.5" thickBot="1" x14ac:dyDescent="0.25">
      <c r="A354" s="1108">
        <v>202.11</v>
      </c>
      <c r="B354" s="1109" t="s">
        <v>1603</v>
      </c>
      <c r="C354" s="1110" t="s">
        <v>1604</v>
      </c>
      <c r="D354" s="1106" t="s">
        <v>1046</v>
      </c>
      <c r="E354" s="1107" t="s">
        <v>1210</v>
      </c>
      <c r="H354">
        <v>1</v>
      </c>
      <c r="I354" t="s">
        <v>1046</v>
      </c>
    </row>
    <row r="355" spans="1:9" ht="13.5" thickBot="1" x14ac:dyDescent="0.25">
      <c r="A355" s="1111"/>
      <c r="B355" s="1109" t="s">
        <v>1605</v>
      </c>
      <c r="C355" s="1110" t="s">
        <v>1051</v>
      </c>
      <c r="D355" s="1106" t="s">
        <v>1046</v>
      </c>
      <c r="E355" s="1107" t="s">
        <v>1210</v>
      </c>
      <c r="H355">
        <v>1</v>
      </c>
      <c r="I355" t="s">
        <v>1046</v>
      </c>
    </row>
    <row r="356" spans="1:9" ht="13.5" thickBot="1" x14ac:dyDescent="0.25">
      <c r="A356" s="1108">
        <v>202.12</v>
      </c>
      <c r="B356" s="1109" t="s">
        <v>1606</v>
      </c>
      <c r="C356" s="1110" t="s">
        <v>1607</v>
      </c>
      <c r="D356" s="1106" t="s">
        <v>1046</v>
      </c>
      <c r="E356" s="1107" t="s">
        <v>1210</v>
      </c>
      <c r="H356">
        <v>1</v>
      </c>
      <c r="I356" t="s">
        <v>1046</v>
      </c>
    </row>
    <row r="357" spans="1:9" ht="13.5" thickBot="1" x14ac:dyDescent="0.25">
      <c r="A357" s="1111"/>
      <c r="B357" s="1109" t="s">
        <v>1608</v>
      </c>
      <c r="C357" s="1110" t="s">
        <v>1051</v>
      </c>
      <c r="D357" s="1106" t="s">
        <v>1046</v>
      </c>
      <c r="E357" s="1107" t="s">
        <v>1210</v>
      </c>
      <c r="H357">
        <v>1</v>
      </c>
      <c r="I357" t="s">
        <v>1046</v>
      </c>
    </row>
    <row r="358" spans="1:9" ht="13.5" thickBot="1" x14ac:dyDescent="0.25">
      <c r="A358" s="1104" t="s">
        <v>1609</v>
      </c>
      <c r="B358" s="1104" t="s">
        <v>1610</v>
      </c>
      <c r="C358" s="1116" t="s">
        <v>1611</v>
      </c>
      <c r="D358" s="1106" t="s">
        <v>1046</v>
      </c>
      <c r="E358" s="1107" t="s">
        <v>1210</v>
      </c>
      <c r="H358">
        <v>1</v>
      </c>
      <c r="I358" t="s">
        <v>1046</v>
      </c>
    </row>
    <row r="359" spans="1:9" ht="13.5" thickBot="1" x14ac:dyDescent="0.25">
      <c r="A359" s="1108">
        <v>203.01</v>
      </c>
      <c r="B359" s="1109" t="s">
        <v>1612</v>
      </c>
      <c r="C359" s="1110" t="s">
        <v>1613</v>
      </c>
      <c r="D359" s="1106" t="s">
        <v>1046</v>
      </c>
      <c r="E359" s="1107" t="s">
        <v>1210</v>
      </c>
      <c r="H359">
        <v>1</v>
      </c>
      <c r="I359" t="s">
        <v>1046</v>
      </c>
    </row>
    <row r="360" spans="1:9" ht="13.5" thickBot="1" x14ac:dyDescent="0.25">
      <c r="A360" s="1111"/>
      <c r="B360" s="1109" t="s">
        <v>1614</v>
      </c>
      <c r="C360" s="1110" t="s">
        <v>1051</v>
      </c>
      <c r="D360" s="1106" t="s">
        <v>1046</v>
      </c>
      <c r="E360" s="1107" t="s">
        <v>1210</v>
      </c>
      <c r="H360">
        <v>1</v>
      </c>
      <c r="I360" t="s">
        <v>1046</v>
      </c>
    </row>
    <row r="361" spans="1:9" ht="13.5" thickBot="1" x14ac:dyDescent="0.25">
      <c r="A361" s="1108">
        <v>203.02</v>
      </c>
      <c r="B361" s="1109" t="s">
        <v>1615</v>
      </c>
      <c r="C361" s="1110" t="s">
        <v>1616</v>
      </c>
      <c r="D361" s="1106" t="s">
        <v>1046</v>
      </c>
      <c r="E361" s="1107" t="s">
        <v>1210</v>
      </c>
      <c r="H361">
        <v>1</v>
      </c>
      <c r="I361" t="s">
        <v>1046</v>
      </c>
    </row>
    <row r="362" spans="1:9" ht="13.5" thickBot="1" x14ac:dyDescent="0.25">
      <c r="A362" s="1111"/>
      <c r="B362" s="1109" t="s">
        <v>1617</v>
      </c>
      <c r="C362" s="1110" t="s">
        <v>1051</v>
      </c>
      <c r="D362" s="1106" t="s">
        <v>1046</v>
      </c>
      <c r="E362" s="1107" t="s">
        <v>1210</v>
      </c>
      <c r="H362">
        <v>1</v>
      </c>
      <c r="I362" t="s">
        <v>1046</v>
      </c>
    </row>
    <row r="363" spans="1:9" ht="13.5" thickBot="1" x14ac:dyDescent="0.25">
      <c r="A363" s="1108">
        <v>203.03</v>
      </c>
      <c r="B363" s="1109" t="s">
        <v>1618</v>
      </c>
      <c r="C363" s="1110" t="s">
        <v>1619</v>
      </c>
      <c r="D363" s="1106" t="s">
        <v>1046</v>
      </c>
      <c r="E363" s="1107" t="s">
        <v>1210</v>
      </c>
      <c r="H363">
        <v>1</v>
      </c>
      <c r="I363" t="s">
        <v>1046</v>
      </c>
    </row>
    <row r="364" spans="1:9" ht="13.5" thickBot="1" x14ac:dyDescent="0.25">
      <c r="A364" s="1111"/>
      <c r="B364" s="1109" t="s">
        <v>1620</v>
      </c>
      <c r="C364" s="1110" t="s">
        <v>1051</v>
      </c>
      <c r="D364" s="1106" t="s">
        <v>1046</v>
      </c>
      <c r="E364" s="1107" t="s">
        <v>1210</v>
      </c>
      <c r="H364">
        <v>1</v>
      </c>
      <c r="I364" t="s">
        <v>1046</v>
      </c>
    </row>
    <row r="365" spans="1:9" ht="13.5" thickBot="1" x14ac:dyDescent="0.25">
      <c r="A365" s="1108">
        <v>203.04</v>
      </c>
      <c r="B365" s="1109" t="s">
        <v>1621</v>
      </c>
      <c r="C365" s="1110" t="s">
        <v>1622</v>
      </c>
      <c r="D365" s="1106" t="s">
        <v>1046</v>
      </c>
      <c r="E365" s="1107" t="s">
        <v>1210</v>
      </c>
      <c r="H365">
        <v>1</v>
      </c>
      <c r="I365" t="s">
        <v>1046</v>
      </c>
    </row>
    <row r="366" spans="1:9" ht="13.5" thickBot="1" x14ac:dyDescent="0.25">
      <c r="A366" s="1111"/>
      <c r="B366" s="1109" t="s">
        <v>1623</v>
      </c>
      <c r="C366" s="1110" t="s">
        <v>1051</v>
      </c>
      <c r="D366" s="1106" t="s">
        <v>1046</v>
      </c>
      <c r="E366" s="1107" t="s">
        <v>1210</v>
      </c>
      <c r="H366">
        <v>1</v>
      </c>
      <c r="I366" t="s">
        <v>1046</v>
      </c>
    </row>
    <row r="367" spans="1:9" ht="23.25" thickBot="1" x14ac:dyDescent="0.25">
      <c r="A367" s="1108">
        <v>203.05</v>
      </c>
      <c r="B367" s="1109" t="s">
        <v>1624</v>
      </c>
      <c r="C367" s="1110" t="s">
        <v>1625</v>
      </c>
      <c r="D367" s="1106" t="s">
        <v>1046</v>
      </c>
      <c r="E367" s="1107" t="s">
        <v>1210</v>
      </c>
      <c r="H367">
        <v>1</v>
      </c>
      <c r="I367" t="s">
        <v>1046</v>
      </c>
    </row>
    <row r="368" spans="1:9" ht="13.5" thickBot="1" x14ac:dyDescent="0.25">
      <c r="A368" s="1111"/>
      <c r="B368" s="1109" t="s">
        <v>1626</v>
      </c>
      <c r="C368" s="1110" t="s">
        <v>1051</v>
      </c>
      <c r="D368" s="1106" t="s">
        <v>1046</v>
      </c>
      <c r="E368" s="1107" t="s">
        <v>1210</v>
      </c>
      <c r="H368">
        <v>1</v>
      </c>
      <c r="I368" t="s">
        <v>1046</v>
      </c>
    </row>
    <row r="369" spans="1:9" ht="23.25" thickBot="1" x14ac:dyDescent="0.25">
      <c r="A369" s="1108">
        <v>203.06</v>
      </c>
      <c r="B369" s="1109" t="s">
        <v>1627</v>
      </c>
      <c r="C369" s="1110" t="s">
        <v>1628</v>
      </c>
      <c r="D369" s="1106" t="s">
        <v>1046</v>
      </c>
      <c r="E369" s="1107" t="s">
        <v>1210</v>
      </c>
      <c r="H369">
        <v>1</v>
      </c>
      <c r="I369" t="s">
        <v>1046</v>
      </c>
    </row>
    <row r="370" spans="1:9" ht="13.5" thickBot="1" x14ac:dyDescent="0.25">
      <c r="A370" s="1111"/>
      <c r="B370" s="1109" t="s">
        <v>1629</v>
      </c>
      <c r="C370" s="1110" t="s">
        <v>1051</v>
      </c>
      <c r="D370" s="1106" t="s">
        <v>1046</v>
      </c>
      <c r="E370" s="1107" t="s">
        <v>1210</v>
      </c>
      <c r="H370">
        <v>1</v>
      </c>
      <c r="I370" t="s">
        <v>1046</v>
      </c>
    </row>
    <row r="371" spans="1:9" ht="23.25" thickBot="1" x14ac:dyDescent="0.25">
      <c r="A371" s="1108">
        <v>203.07</v>
      </c>
      <c r="B371" s="1109" t="s">
        <v>1630</v>
      </c>
      <c r="C371" s="1110" t="s">
        <v>1631</v>
      </c>
      <c r="D371" s="1106" t="s">
        <v>1046</v>
      </c>
      <c r="E371" s="1107" t="s">
        <v>1210</v>
      </c>
      <c r="H371">
        <v>1</v>
      </c>
      <c r="I371" t="s">
        <v>1046</v>
      </c>
    </row>
    <row r="372" spans="1:9" ht="13.5" thickBot="1" x14ac:dyDescent="0.25">
      <c r="A372" s="1111"/>
      <c r="B372" s="1109" t="s">
        <v>1632</v>
      </c>
      <c r="C372" s="1110" t="s">
        <v>1051</v>
      </c>
      <c r="D372" s="1106" t="s">
        <v>1046</v>
      </c>
      <c r="E372" s="1107" t="s">
        <v>1210</v>
      </c>
      <c r="H372">
        <v>1</v>
      </c>
      <c r="I372" t="s">
        <v>1046</v>
      </c>
    </row>
    <row r="373" spans="1:9" ht="23.25" thickBot="1" x14ac:dyDescent="0.25">
      <c r="A373" s="1108">
        <v>203.08</v>
      </c>
      <c r="B373" s="1109" t="s">
        <v>1633</v>
      </c>
      <c r="C373" s="1110" t="s">
        <v>1634</v>
      </c>
      <c r="D373" s="1106" t="s">
        <v>1046</v>
      </c>
      <c r="E373" s="1107" t="s">
        <v>1210</v>
      </c>
      <c r="H373">
        <v>1</v>
      </c>
      <c r="I373" t="s">
        <v>1046</v>
      </c>
    </row>
    <row r="374" spans="1:9" ht="13.5" thickBot="1" x14ac:dyDescent="0.25">
      <c r="A374" s="1111"/>
      <c r="B374" s="1109" t="s">
        <v>1635</v>
      </c>
      <c r="C374" s="1110" t="s">
        <v>1051</v>
      </c>
      <c r="D374" s="1106" t="s">
        <v>1046</v>
      </c>
      <c r="E374" s="1107" t="s">
        <v>1210</v>
      </c>
      <c r="H374">
        <v>1</v>
      </c>
      <c r="I374" t="s">
        <v>1046</v>
      </c>
    </row>
    <row r="375" spans="1:9" ht="23.25" thickBot="1" x14ac:dyDescent="0.25">
      <c r="A375" s="1108">
        <v>203.09</v>
      </c>
      <c r="B375" s="1109" t="s">
        <v>1636</v>
      </c>
      <c r="C375" s="1110" t="s">
        <v>1637</v>
      </c>
      <c r="D375" s="1106" t="s">
        <v>1046</v>
      </c>
      <c r="E375" s="1107" t="s">
        <v>1210</v>
      </c>
      <c r="H375">
        <v>1</v>
      </c>
      <c r="I375" t="s">
        <v>1046</v>
      </c>
    </row>
    <row r="376" spans="1:9" ht="13.5" thickBot="1" x14ac:dyDescent="0.25">
      <c r="A376" s="1111"/>
      <c r="B376" s="1109" t="s">
        <v>1638</v>
      </c>
      <c r="C376" s="1110" t="s">
        <v>1051</v>
      </c>
      <c r="D376" s="1106" t="s">
        <v>1046</v>
      </c>
      <c r="E376" s="1107" t="s">
        <v>1210</v>
      </c>
      <c r="H376">
        <v>1</v>
      </c>
      <c r="I376" t="s">
        <v>1046</v>
      </c>
    </row>
    <row r="377" spans="1:9" ht="13.5" thickBot="1" x14ac:dyDescent="0.25">
      <c r="A377" s="1108">
        <v>203.1</v>
      </c>
      <c r="B377" s="1131" t="s">
        <v>1639</v>
      </c>
      <c r="C377" s="1132" t="s">
        <v>1640</v>
      </c>
      <c r="D377" s="1106" t="s">
        <v>1046</v>
      </c>
      <c r="E377" s="1107" t="s">
        <v>1210</v>
      </c>
      <c r="H377">
        <v>1</v>
      </c>
      <c r="I377" t="s">
        <v>1046</v>
      </c>
    </row>
    <row r="378" spans="1:9" ht="13.5" thickBot="1" x14ac:dyDescent="0.25">
      <c r="A378" s="1111"/>
      <c r="B378" s="1131" t="s">
        <v>1641</v>
      </c>
      <c r="C378" s="1132" t="s">
        <v>1051</v>
      </c>
      <c r="D378" s="1106" t="s">
        <v>1046</v>
      </c>
      <c r="E378" s="1107" t="s">
        <v>1210</v>
      </c>
      <c r="H378">
        <v>1</v>
      </c>
      <c r="I378" t="s">
        <v>1046</v>
      </c>
    </row>
    <row r="379" spans="1:9" ht="13.5" thickBot="1" x14ac:dyDescent="0.25">
      <c r="A379" s="1108">
        <v>203.11</v>
      </c>
      <c r="B379" s="1109" t="s">
        <v>1642</v>
      </c>
      <c r="C379" s="1110" t="s">
        <v>1643</v>
      </c>
      <c r="D379" s="1106" t="s">
        <v>1046</v>
      </c>
      <c r="E379" s="1107" t="s">
        <v>1210</v>
      </c>
      <c r="H379">
        <v>1</v>
      </c>
      <c r="I379" t="s">
        <v>1046</v>
      </c>
    </row>
    <row r="380" spans="1:9" ht="13.5" thickBot="1" x14ac:dyDescent="0.25">
      <c r="A380" s="1111"/>
      <c r="B380" s="1109" t="s">
        <v>1644</v>
      </c>
      <c r="C380" s="1110" t="s">
        <v>1051</v>
      </c>
      <c r="D380" s="1106" t="s">
        <v>1046</v>
      </c>
      <c r="E380" s="1107" t="s">
        <v>1210</v>
      </c>
      <c r="H380">
        <v>1</v>
      </c>
      <c r="I380" t="s">
        <v>1046</v>
      </c>
    </row>
    <row r="381" spans="1:9" ht="13.5" thickBot="1" x14ac:dyDescent="0.25">
      <c r="A381" s="1108">
        <v>203.12</v>
      </c>
      <c r="B381" s="1109" t="s">
        <v>1645</v>
      </c>
      <c r="C381" s="1110" t="s">
        <v>1646</v>
      </c>
      <c r="D381" s="1106" t="s">
        <v>1046</v>
      </c>
      <c r="E381" s="1107" t="s">
        <v>1210</v>
      </c>
      <c r="H381">
        <v>1</v>
      </c>
      <c r="I381" t="s">
        <v>1046</v>
      </c>
    </row>
    <row r="382" spans="1:9" ht="13.5" thickBot="1" x14ac:dyDescent="0.25">
      <c r="A382" s="1111"/>
      <c r="B382" s="1109" t="s">
        <v>1647</v>
      </c>
      <c r="C382" s="1110" t="s">
        <v>1051</v>
      </c>
      <c r="D382" s="1106" t="s">
        <v>1046</v>
      </c>
      <c r="E382" s="1107" t="s">
        <v>1210</v>
      </c>
      <c r="H382">
        <v>1</v>
      </c>
      <c r="I382" t="s">
        <v>1046</v>
      </c>
    </row>
    <row r="383" spans="1:9" ht="13.5" thickBot="1" x14ac:dyDescent="0.25">
      <c r="A383" s="1108">
        <v>203.13</v>
      </c>
      <c r="B383" s="1109" t="s">
        <v>1648</v>
      </c>
      <c r="C383" s="1110" t="s">
        <v>1649</v>
      </c>
      <c r="D383" s="1106" t="s">
        <v>1046</v>
      </c>
      <c r="E383" s="1107" t="s">
        <v>1210</v>
      </c>
      <c r="H383">
        <v>1</v>
      </c>
      <c r="I383" t="s">
        <v>1046</v>
      </c>
    </row>
    <row r="384" spans="1:9" ht="13.5" thickBot="1" x14ac:dyDescent="0.25">
      <c r="A384" s="1111"/>
      <c r="B384" s="1109" t="s">
        <v>1650</v>
      </c>
      <c r="C384" s="1110" t="s">
        <v>1051</v>
      </c>
      <c r="D384" s="1106" t="s">
        <v>1046</v>
      </c>
      <c r="E384" s="1107" t="s">
        <v>1210</v>
      </c>
      <c r="H384">
        <v>1</v>
      </c>
      <c r="I384" t="s">
        <v>1046</v>
      </c>
    </row>
    <row r="385" spans="1:9" ht="13.5" thickBot="1" x14ac:dyDescent="0.25">
      <c r="A385" s="1108">
        <v>203.14</v>
      </c>
      <c r="B385" s="1109" t="s">
        <v>1651</v>
      </c>
      <c r="C385" s="1110" t="s">
        <v>1652</v>
      </c>
      <c r="D385" s="1106" t="s">
        <v>1046</v>
      </c>
      <c r="E385" s="1107" t="s">
        <v>1210</v>
      </c>
      <c r="H385">
        <v>1</v>
      </c>
      <c r="I385" t="s">
        <v>1046</v>
      </c>
    </row>
    <row r="386" spans="1:9" ht="13.5" thickBot="1" x14ac:dyDescent="0.25">
      <c r="A386" s="1111"/>
      <c r="B386" s="1109" t="s">
        <v>1653</v>
      </c>
      <c r="C386" s="1110" t="s">
        <v>1051</v>
      </c>
      <c r="D386" s="1106" t="s">
        <v>1046</v>
      </c>
      <c r="E386" s="1107" t="s">
        <v>1210</v>
      </c>
      <c r="H386">
        <v>1</v>
      </c>
      <c r="I386" t="s">
        <v>1046</v>
      </c>
    </row>
    <row r="387" spans="1:9" ht="13.5" thickBot="1" x14ac:dyDescent="0.25">
      <c r="A387" s="1108">
        <v>203.15</v>
      </c>
      <c r="B387" s="1109" t="s">
        <v>1654</v>
      </c>
      <c r="C387" s="1110" t="s">
        <v>1655</v>
      </c>
      <c r="D387" s="1106" t="s">
        <v>1046</v>
      </c>
      <c r="E387" s="1107" t="s">
        <v>1210</v>
      </c>
      <c r="H387">
        <v>1</v>
      </c>
      <c r="I387" t="s">
        <v>1046</v>
      </c>
    </row>
    <row r="388" spans="1:9" ht="13.5" thickBot="1" x14ac:dyDescent="0.25">
      <c r="A388" s="1111"/>
      <c r="B388" s="1109" t="s">
        <v>1656</v>
      </c>
      <c r="C388" s="1110" t="s">
        <v>1051</v>
      </c>
      <c r="D388" s="1106" t="s">
        <v>1046</v>
      </c>
      <c r="E388" s="1107" t="s">
        <v>1210</v>
      </c>
      <c r="H388">
        <v>1</v>
      </c>
      <c r="I388" t="s">
        <v>1046</v>
      </c>
    </row>
    <row r="389" spans="1:9" ht="13.5" thickBot="1" x14ac:dyDescent="0.25">
      <c r="A389" s="1108">
        <v>203.16</v>
      </c>
      <c r="B389" s="1109" t="s">
        <v>1657</v>
      </c>
      <c r="C389" s="1110" t="s">
        <v>1658</v>
      </c>
      <c r="D389" s="1106" t="s">
        <v>1046</v>
      </c>
      <c r="E389" s="1107" t="s">
        <v>1210</v>
      </c>
      <c r="H389">
        <v>1</v>
      </c>
      <c r="I389" t="s">
        <v>1046</v>
      </c>
    </row>
    <row r="390" spans="1:9" ht="13.5" thickBot="1" x14ac:dyDescent="0.25">
      <c r="A390" s="1111"/>
      <c r="B390" s="1109" t="s">
        <v>1659</v>
      </c>
      <c r="C390" s="1110" t="s">
        <v>1051</v>
      </c>
      <c r="D390" s="1106" t="s">
        <v>1046</v>
      </c>
      <c r="E390" s="1107" t="s">
        <v>1210</v>
      </c>
      <c r="H390">
        <v>1</v>
      </c>
      <c r="I390" t="s">
        <v>1046</v>
      </c>
    </row>
    <row r="391" spans="1:9" ht="13.5" thickBot="1" x14ac:dyDescent="0.25">
      <c r="A391" s="1108">
        <v>203.17</v>
      </c>
      <c r="B391" s="1109" t="s">
        <v>1660</v>
      </c>
      <c r="C391" s="1110" t="s">
        <v>1213</v>
      </c>
      <c r="D391" s="1106" t="s">
        <v>1046</v>
      </c>
      <c r="E391" s="1107" t="s">
        <v>1210</v>
      </c>
      <c r="H391">
        <v>1</v>
      </c>
      <c r="I391" t="s">
        <v>1046</v>
      </c>
    </row>
    <row r="392" spans="1:9" ht="13.5" thickBot="1" x14ac:dyDescent="0.25">
      <c r="A392" s="1111"/>
      <c r="B392" s="1109" t="s">
        <v>1661</v>
      </c>
      <c r="C392" s="1110" t="s">
        <v>1051</v>
      </c>
      <c r="D392" s="1106" t="s">
        <v>1046</v>
      </c>
      <c r="E392" s="1107" t="s">
        <v>1210</v>
      </c>
      <c r="H392">
        <v>1</v>
      </c>
      <c r="I392" t="s">
        <v>1046</v>
      </c>
    </row>
    <row r="393" spans="1:9" ht="13.5" thickBot="1" x14ac:dyDescent="0.25">
      <c r="A393" s="1108">
        <v>203.18</v>
      </c>
      <c r="B393" s="1109" t="s">
        <v>1662</v>
      </c>
      <c r="C393" s="1110" t="s">
        <v>1663</v>
      </c>
      <c r="D393" s="1106" t="s">
        <v>1046</v>
      </c>
      <c r="E393" s="1107" t="s">
        <v>1210</v>
      </c>
      <c r="H393">
        <v>1</v>
      </c>
      <c r="I393" t="s">
        <v>1046</v>
      </c>
    </row>
    <row r="394" spans="1:9" ht="13.5" thickBot="1" x14ac:dyDescent="0.25">
      <c r="A394" s="1111"/>
      <c r="B394" s="1109" t="s">
        <v>1664</v>
      </c>
      <c r="C394" s="1110" t="s">
        <v>1051</v>
      </c>
      <c r="D394" s="1106" t="s">
        <v>1046</v>
      </c>
      <c r="E394" s="1107" t="s">
        <v>1210</v>
      </c>
      <c r="H394">
        <v>1</v>
      </c>
      <c r="I394" t="s">
        <v>1046</v>
      </c>
    </row>
    <row r="395" spans="1:9" ht="13.5" thickBot="1" x14ac:dyDescent="0.25">
      <c r="A395" s="1104" t="s">
        <v>1665</v>
      </c>
      <c r="B395" s="1104" t="s">
        <v>1666</v>
      </c>
      <c r="C395" s="1116" t="s">
        <v>1667</v>
      </c>
      <c r="D395" s="1106" t="s">
        <v>1046</v>
      </c>
      <c r="E395" s="1107" t="s">
        <v>1210</v>
      </c>
      <c r="H395">
        <v>1</v>
      </c>
      <c r="I395" t="s">
        <v>1046</v>
      </c>
    </row>
    <row r="396" spans="1:9" ht="13.5" thickBot="1" x14ac:dyDescent="0.25">
      <c r="A396" s="1108">
        <v>204.01</v>
      </c>
      <c r="B396" s="1109" t="s">
        <v>1668</v>
      </c>
      <c r="C396" s="1110" t="s">
        <v>1669</v>
      </c>
      <c r="D396" s="1106" t="s">
        <v>1046</v>
      </c>
      <c r="E396" s="1107" t="s">
        <v>1210</v>
      </c>
      <c r="H396">
        <v>1</v>
      </c>
      <c r="I396" t="s">
        <v>1046</v>
      </c>
    </row>
    <row r="397" spans="1:9" ht="13.5" thickBot="1" x14ac:dyDescent="0.25">
      <c r="A397" s="1111"/>
      <c r="B397" s="1109" t="s">
        <v>1670</v>
      </c>
      <c r="C397" s="1110" t="s">
        <v>1051</v>
      </c>
      <c r="D397" s="1106" t="s">
        <v>1046</v>
      </c>
      <c r="E397" s="1107" t="s">
        <v>1210</v>
      </c>
      <c r="H397">
        <v>1</v>
      </c>
      <c r="I397" t="s">
        <v>1046</v>
      </c>
    </row>
    <row r="398" spans="1:9" ht="13.5" thickBot="1" x14ac:dyDescent="0.25">
      <c r="A398" s="1104" t="s">
        <v>1671</v>
      </c>
      <c r="B398" s="1104" t="s">
        <v>1672</v>
      </c>
      <c r="C398" s="1116" t="s">
        <v>1673</v>
      </c>
      <c r="D398" s="1106" t="s">
        <v>1046</v>
      </c>
      <c r="E398" s="1107" t="s">
        <v>1210</v>
      </c>
      <c r="H398">
        <v>1</v>
      </c>
      <c r="I398" t="s">
        <v>1046</v>
      </c>
    </row>
    <row r="399" spans="1:9" ht="13.5" thickBot="1" x14ac:dyDescent="0.25">
      <c r="A399" s="1108">
        <v>205.01</v>
      </c>
      <c r="B399" s="1109" t="s">
        <v>1674</v>
      </c>
      <c r="C399" s="1110" t="s">
        <v>1675</v>
      </c>
      <c r="D399" s="1106" t="s">
        <v>1046</v>
      </c>
      <c r="E399" s="1107" t="s">
        <v>1210</v>
      </c>
      <c r="H399">
        <v>1</v>
      </c>
      <c r="I399" t="s">
        <v>1046</v>
      </c>
    </row>
    <row r="400" spans="1:9" ht="13.5" thickBot="1" x14ac:dyDescent="0.25">
      <c r="A400" s="1111"/>
      <c r="B400" s="1109" t="s">
        <v>1676</v>
      </c>
      <c r="C400" s="1110" t="s">
        <v>1051</v>
      </c>
      <c r="D400" s="1106" t="s">
        <v>1046</v>
      </c>
      <c r="E400" s="1107" t="s">
        <v>1210</v>
      </c>
      <c r="H400">
        <v>1</v>
      </c>
      <c r="I400" t="s">
        <v>1046</v>
      </c>
    </row>
    <row r="401" spans="1:9" ht="13.5" thickBot="1" x14ac:dyDescent="0.25">
      <c r="A401" s="1108">
        <v>205.02</v>
      </c>
      <c r="B401" s="1109" t="s">
        <v>1677</v>
      </c>
      <c r="C401" s="1110" t="s">
        <v>1678</v>
      </c>
      <c r="D401" s="1106" t="s">
        <v>1046</v>
      </c>
      <c r="E401" s="1107" t="s">
        <v>1210</v>
      </c>
      <c r="H401">
        <v>1</v>
      </c>
      <c r="I401" t="s">
        <v>1046</v>
      </c>
    </row>
    <row r="402" spans="1:9" ht="13.5" thickBot="1" x14ac:dyDescent="0.25">
      <c r="A402" s="1111"/>
      <c r="B402" s="1109" t="s">
        <v>1679</v>
      </c>
      <c r="C402" s="1110" t="s">
        <v>1051</v>
      </c>
      <c r="D402" s="1106" t="s">
        <v>1046</v>
      </c>
      <c r="E402" s="1107" t="s">
        <v>1210</v>
      </c>
      <c r="H402">
        <v>1</v>
      </c>
      <c r="I402" t="s">
        <v>1046</v>
      </c>
    </row>
    <row r="403" spans="1:9" ht="13.5" thickBot="1" x14ac:dyDescent="0.25">
      <c r="A403" s="1108">
        <v>205.03</v>
      </c>
      <c r="B403" s="1109" t="s">
        <v>1680</v>
      </c>
      <c r="C403" s="1110" t="s">
        <v>1681</v>
      </c>
      <c r="D403" s="1106" t="s">
        <v>1046</v>
      </c>
      <c r="E403" s="1107" t="s">
        <v>1210</v>
      </c>
      <c r="H403">
        <v>1</v>
      </c>
      <c r="I403" t="s">
        <v>1046</v>
      </c>
    </row>
    <row r="404" spans="1:9" ht="13.5" thickBot="1" x14ac:dyDescent="0.25">
      <c r="A404" s="1111"/>
      <c r="B404" s="1109" t="s">
        <v>1682</v>
      </c>
      <c r="C404" s="1110" t="s">
        <v>1051</v>
      </c>
      <c r="D404" s="1106" t="s">
        <v>1046</v>
      </c>
      <c r="E404" s="1107" t="s">
        <v>1210</v>
      </c>
      <c r="H404">
        <v>1</v>
      </c>
      <c r="I404" t="s">
        <v>1046</v>
      </c>
    </row>
    <row r="405" spans="1:9" ht="13.5" thickBot="1" x14ac:dyDescent="0.25">
      <c r="A405" s="1108">
        <v>205.04</v>
      </c>
      <c r="B405" s="1109" t="s">
        <v>1683</v>
      </c>
      <c r="C405" s="1110" t="s">
        <v>1684</v>
      </c>
      <c r="D405" s="1106" t="s">
        <v>1046</v>
      </c>
      <c r="E405" s="1107" t="s">
        <v>1210</v>
      </c>
      <c r="H405">
        <v>1</v>
      </c>
      <c r="I405" t="s">
        <v>1046</v>
      </c>
    </row>
    <row r="406" spans="1:9" ht="13.5" thickBot="1" x14ac:dyDescent="0.25">
      <c r="A406" s="1111"/>
      <c r="B406" s="1109" t="s">
        <v>1685</v>
      </c>
      <c r="C406" s="1110" t="s">
        <v>1051</v>
      </c>
      <c r="D406" s="1106" t="s">
        <v>1046</v>
      </c>
      <c r="E406" s="1107" t="s">
        <v>1210</v>
      </c>
      <c r="H406">
        <v>1</v>
      </c>
      <c r="I406" t="s">
        <v>1046</v>
      </c>
    </row>
    <row r="407" spans="1:9" ht="13.5" thickBot="1" x14ac:dyDescent="0.25">
      <c r="A407" s="1108">
        <v>205.05</v>
      </c>
      <c r="B407" s="1109" t="s">
        <v>1686</v>
      </c>
      <c r="C407" s="1110" t="s">
        <v>1687</v>
      </c>
      <c r="D407" s="1106" t="s">
        <v>1046</v>
      </c>
      <c r="E407" s="1107" t="s">
        <v>1210</v>
      </c>
      <c r="H407">
        <v>1</v>
      </c>
      <c r="I407" t="s">
        <v>1046</v>
      </c>
    </row>
    <row r="408" spans="1:9" ht="13.5" thickBot="1" x14ac:dyDescent="0.25">
      <c r="A408" s="1111"/>
      <c r="B408" s="1109" t="s">
        <v>1688</v>
      </c>
      <c r="C408" s="1110" t="s">
        <v>1051</v>
      </c>
      <c r="D408" s="1106" t="s">
        <v>1046</v>
      </c>
      <c r="E408" s="1107" t="s">
        <v>1210</v>
      </c>
      <c r="H408">
        <v>1</v>
      </c>
      <c r="I408" t="s">
        <v>1046</v>
      </c>
    </row>
    <row r="409" spans="1:9" ht="13.5" thickBot="1" x14ac:dyDescent="0.25">
      <c r="A409" s="1108">
        <v>205.06</v>
      </c>
      <c r="B409" s="1109" t="s">
        <v>1689</v>
      </c>
      <c r="C409" s="1110" t="s">
        <v>1690</v>
      </c>
      <c r="D409" s="1106" t="s">
        <v>1046</v>
      </c>
      <c r="E409" s="1107" t="s">
        <v>1210</v>
      </c>
      <c r="H409">
        <v>1</v>
      </c>
      <c r="I409" t="s">
        <v>1046</v>
      </c>
    </row>
    <row r="410" spans="1:9" ht="13.5" thickBot="1" x14ac:dyDescent="0.25">
      <c r="A410" s="1111"/>
      <c r="B410" s="1109" t="s">
        <v>1691</v>
      </c>
      <c r="C410" s="1110" t="s">
        <v>1051</v>
      </c>
      <c r="D410" s="1106" t="s">
        <v>1046</v>
      </c>
      <c r="E410" s="1107" t="s">
        <v>1210</v>
      </c>
      <c r="H410">
        <v>1</v>
      </c>
      <c r="I410" t="s">
        <v>1046</v>
      </c>
    </row>
    <row r="411" spans="1:9" ht="13.5" thickBot="1" x14ac:dyDescent="0.25">
      <c r="A411" s="1133">
        <v>217.01</v>
      </c>
      <c r="B411" s="1109" t="s">
        <v>1692</v>
      </c>
      <c r="C411" s="1134" t="s">
        <v>1693</v>
      </c>
      <c r="D411" s="1106" t="s">
        <v>1046</v>
      </c>
      <c r="E411" s="1107" t="s">
        <v>1210</v>
      </c>
      <c r="H411">
        <v>1</v>
      </c>
      <c r="I411" t="s">
        <v>1046</v>
      </c>
    </row>
    <row r="412" spans="1:9" ht="13.5" thickBot="1" x14ac:dyDescent="0.25">
      <c r="A412" s="1111"/>
      <c r="B412" s="1109" t="s">
        <v>1694</v>
      </c>
      <c r="C412" s="1110" t="s">
        <v>1051</v>
      </c>
      <c r="D412" s="1106" t="s">
        <v>1046</v>
      </c>
      <c r="E412" s="1107" t="s">
        <v>1210</v>
      </c>
      <c r="H412">
        <v>1</v>
      </c>
      <c r="I412" t="s">
        <v>1046</v>
      </c>
    </row>
    <row r="413" spans="1:9" ht="13.5" thickBot="1" x14ac:dyDescent="0.25">
      <c r="A413" s="1104" t="s">
        <v>1695</v>
      </c>
      <c r="B413" s="1131" t="s">
        <v>1696</v>
      </c>
      <c r="C413" s="1142" t="s">
        <v>1697</v>
      </c>
      <c r="D413" s="1106" t="s">
        <v>1046</v>
      </c>
      <c r="E413" s="1107" t="s">
        <v>1210</v>
      </c>
      <c r="H413">
        <v>1</v>
      </c>
      <c r="I413" t="s">
        <v>1046</v>
      </c>
    </row>
    <row r="414" spans="1:9" ht="13.5" thickBot="1" x14ac:dyDescent="0.25">
      <c r="A414" s="1108">
        <v>206.01</v>
      </c>
      <c r="B414" s="1131" t="s">
        <v>1698</v>
      </c>
      <c r="C414" s="1132" t="s">
        <v>1699</v>
      </c>
      <c r="D414" s="1106" t="s">
        <v>1046</v>
      </c>
      <c r="E414" s="1107" t="s">
        <v>1210</v>
      </c>
      <c r="H414">
        <v>1</v>
      </c>
      <c r="I414" t="s">
        <v>1046</v>
      </c>
    </row>
    <row r="415" spans="1:9" ht="13.5" thickBot="1" x14ac:dyDescent="0.25">
      <c r="A415" s="1111"/>
      <c r="B415" s="1131" t="s">
        <v>1700</v>
      </c>
      <c r="C415" s="1132" t="s">
        <v>1051</v>
      </c>
      <c r="D415" s="1106" t="s">
        <v>1046</v>
      </c>
      <c r="E415" s="1107" t="s">
        <v>1210</v>
      </c>
      <c r="H415">
        <v>1</v>
      </c>
      <c r="I415" t="s">
        <v>1046</v>
      </c>
    </row>
    <row r="416" spans="1:9" ht="13.5" thickBot="1" x14ac:dyDescent="0.25">
      <c r="A416" s="1108">
        <v>206.02</v>
      </c>
      <c r="B416" s="1131" t="s">
        <v>1701</v>
      </c>
      <c r="C416" s="1132" t="s">
        <v>1702</v>
      </c>
      <c r="D416" s="1106" t="s">
        <v>1046</v>
      </c>
      <c r="E416" s="1107" t="s">
        <v>1210</v>
      </c>
      <c r="H416">
        <v>1</v>
      </c>
      <c r="I416" t="s">
        <v>1046</v>
      </c>
    </row>
    <row r="417" spans="1:9" ht="13.5" thickBot="1" x14ac:dyDescent="0.25">
      <c r="A417" s="1111"/>
      <c r="B417" s="1131" t="s">
        <v>1703</v>
      </c>
      <c r="C417" s="1132" t="s">
        <v>1051</v>
      </c>
      <c r="D417" s="1106" t="s">
        <v>1046</v>
      </c>
      <c r="E417" s="1107" t="s">
        <v>1210</v>
      </c>
      <c r="H417">
        <v>1</v>
      </c>
      <c r="I417" t="s">
        <v>1046</v>
      </c>
    </row>
    <row r="418" spans="1:9" ht="13.5" thickBot="1" x14ac:dyDescent="0.25">
      <c r="A418" s="1108">
        <v>206.03</v>
      </c>
      <c r="B418" s="1131" t="s">
        <v>1704</v>
      </c>
      <c r="C418" s="1132" t="s">
        <v>1705</v>
      </c>
      <c r="D418" s="1106" t="s">
        <v>1046</v>
      </c>
      <c r="E418" s="1107" t="s">
        <v>1210</v>
      </c>
      <c r="H418">
        <v>1</v>
      </c>
      <c r="I418" t="s">
        <v>1046</v>
      </c>
    </row>
    <row r="419" spans="1:9" ht="13.5" thickBot="1" x14ac:dyDescent="0.25">
      <c r="A419" s="1111"/>
      <c r="B419" s="1131" t="s">
        <v>1706</v>
      </c>
      <c r="C419" s="1132" t="s">
        <v>1051</v>
      </c>
      <c r="D419" s="1106" t="s">
        <v>1046</v>
      </c>
      <c r="E419" s="1107" t="s">
        <v>1210</v>
      </c>
      <c r="H419">
        <v>1</v>
      </c>
      <c r="I419" t="s">
        <v>1046</v>
      </c>
    </row>
    <row r="420" spans="1:9" ht="13.5" thickBot="1" x14ac:dyDescent="0.25">
      <c r="A420" s="1108">
        <v>206.04</v>
      </c>
      <c r="B420" s="1131" t="s">
        <v>1707</v>
      </c>
      <c r="C420" s="1132" t="s">
        <v>1708</v>
      </c>
      <c r="D420" s="1106" t="s">
        <v>1046</v>
      </c>
      <c r="E420" s="1107" t="s">
        <v>1210</v>
      </c>
      <c r="H420">
        <v>1</v>
      </c>
      <c r="I420" t="s">
        <v>1046</v>
      </c>
    </row>
    <row r="421" spans="1:9" ht="13.5" thickBot="1" x14ac:dyDescent="0.25">
      <c r="A421" s="1111"/>
      <c r="B421" s="1131" t="s">
        <v>1709</v>
      </c>
      <c r="C421" s="1132" t="s">
        <v>1051</v>
      </c>
      <c r="D421" s="1106" t="s">
        <v>1046</v>
      </c>
      <c r="E421" s="1107" t="s">
        <v>1210</v>
      </c>
      <c r="H421">
        <v>1</v>
      </c>
      <c r="I421" t="s">
        <v>1046</v>
      </c>
    </row>
    <row r="422" spans="1:9" ht="13.5" thickBot="1" x14ac:dyDescent="0.25">
      <c r="A422" s="1108">
        <v>206.05</v>
      </c>
      <c r="B422" s="1131" t="s">
        <v>1710</v>
      </c>
      <c r="C422" s="1132" t="s">
        <v>1711</v>
      </c>
      <c r="D422" s="1106" t="s">
        <v>1046</v>
      </c>
      <c r="E422" s="1107" t="s">
        <v>1210</v>
      </c>
      <c r="H422">
        <v>1</v>
      </c>
      <c r="I422" t="s">
        <v>1046</v>
      </c>
    </row>
    <row r="423" spans="1:9" ht="13.5" thickBot="1" x14ac:dyDescent="0.25">
      <c r="A423" s="1111"/>
      <c r="B423" s="1131" t="s">
        <v>1712</v>
      </c>
      <c r="C423" s="1132" t="s">
        <v>1051</v>
      </c>
      <c r="D423" s="1106" t="s">
        <v>1046</v>
      </c>
      <c r="E423" s="1107" t="s">
        <v>1210</v>
      </c>
      <c r="H423">
        <v>1</v>
      </c>
      <c r="I423" t="s">
        <v>1046</v>
      </c>
    </row>
    <row r="424" spans="1:9" ht="13.5" thickBot="1" x14ac:dyDescent="0.25">
      <c r="A424" s="1104">
        <v>208</v>
      </c>
      <c r="B424" s="1104" t="s">
        <v>1713</v>
      </c>
      <c r="C424" s="1116" t="s">
        <v>1714</v>
      </c>
      <c r="D424" s="1106" t="s">
        <v>1046</v>
      </c>
      <c r="E424" s="1107" t="s">
        <v>1210</v>
      </c>
      <c r="H424">
        <v>1</v>
      </c>
      <c r="I424" t="s">
        <v>1046</v>
      </c>
    </row>
    <row r="425" spans="1:9" ht="13.5" thickBot="1" x14ac:dyDescent="0.25">
      <c r="A425" s="1108">
        <v>208.01</v>
      </c>
      <c r="B425" s="1109" t="s">
        <v>1715</v>
      </c>
      <c r="C425" s="1110" t="s">
        <v>1716</v>
      </c>
      <c r="D425" s="1106" t="s">
        <v>1046</v>
      </c>
      <c r="E425" s="1107" t="s">
        <v>1210</v>
      </c>
      <c r="H425">
        <v>1</v>
      </c>
      <c r="I425" t="s">
        <v>1046</v>
      </c>
    </row>
    <row r="426" spans="1:9" ht="13.5" thickBot="1" x14ac:dyDescent="0.25">
      <c r="A426" s="1111"/>
      <c r="B426" s="1109" t="s">
        <v>1717</v>
      </c>
      <c r="C426" s="1110" t="s">
        <v>1051</v>
      </c>
      <c r="D426" s="1106" t="s">
        <v>1046</v>
      </c>
      <c r="E426" s="1107" t="s">
        <v>1210</v>
      </c>
      <c r="H426">
        <v>1</v>
      </c>
      <c r="I426" t="s">
        <v>1046</v>
      </c>
    </row>
    <row r="427" spans="1:9" ht="13.5" thickBot="1" x14ac:dyDescent="0.25">
      <c r="A427" s="1108">
        <v>208.02</v>
      </c>
      <c r="B427" s="1109" t="s">
        <v>1718</v>
      </c>
      <c r="C427" s="1110" t="s">
        <v>1719</v>
      </c>
      <c r="D427" s="1106" t="s">
        <v>1046</v>
      </c>
      <c r="E427" s="1107" t="s">
        <v>1210</v>
      </c>
      <c r="H427">
        <v>1</v>
      </c>
      <c r="I427" t="s">
        <v>1046</v>
      </c>
    </row>
    <row r="428" spans="1:9" ht="13.5" thickBot="1" x14ac:dyDescent="0.25">
      <c r="A428" s="1111"/>
      <c r="B428" s="1109" t="s">
        <v>1720</v>
      </c>
      <c r="C428" s="1110" t="s">
        <v>1051</v>
      </c>
      <c r="D428" s="1106" t="s">
        <v>1046</v>
      </c>
      <c r="E428" s="1107" t="s">
        <v>1210</v>
      </c>
      <c r="H428">
        <v>1</v>
      </c>
      <c r="I428" t="s">
        <v>1046</v>
      </c>
    </row>
    <row r="429" spans="1:9" ht="23.25" thickBot="1" x14ac:dyDescent="0.25">
      <c r="A429" s="1104">
        <v>209</v>
      </c>
      <c r="B429" s="1104" t="s">
        <v>1721</v>
      </c>
      <c r="C429" s="1116" t="s">
        <v>1722</v>
      </c>
      <c r="D429" s="1106" t="s">
        <v>1046</v>
      </c>
      <c r="E429" s="1107" t="s">
        <v>1210</v>
      </c>
      <c r="H429">
        <v>1</v>
      </c>
      <c r="I429" t="s">
        <v>1046</v>
      </c>
    </row>
    <row r="430" spans="1:9" ht="13.5" thickBot="1" x14ac:dyDescent="0.25">
      <c r="A430" s="1108">
        <v>209.01</v>
      </c>
      <c r="B430" s="1109" t="s">
        <v>1723</v>
      </c>
      <c r="C430" s="1110" t="s">
        <v>1724</v>
      </c>
      <c r="D430" s="1106" t="s">
        <v>1046</v>
      </c>
      <c r="E430" s="1107" t="s">
        <v>1210</v>
      </c>
      <c r="H430">
        <v>1</v>
      </c>
      <c r="I430" t="s">
        <v>1046</v>
      </c>
    </row>
    <row r="431" spans="1:9" ht="13.5" thickBot="1" x14ac:dyDescent="0.25">
      <c r="A431" s="1111"/>
      <c r="B431" s="1109" t="s">
        <v>1725</v>
      </c>
      <c r="C431" s="1110" t="s">
        <v>1051</v>
      </c>
      <c r="D431" s="1106" t="s">
        <v>1046</v>
      </c>
      <c r="E431" s="1107" t="s">
        <v>1210</v>
      </c>
      <c r="H431">
        <v>1</v>
      </c>
      <c r="I431" t="s">
        <v>1046</v>
      </c>
    </row>
    <row r="432" spans="1:9" ht="13.5" thickBot="1" x14ac:dyDescent="0.25">
      <c r="A432" s="1108">
        <v>209.02</v>
      </c>
      <c r="B432" s="1109" t="s">
        <v>1726</v>
      </c>
      <c r="C432" s="1110" t="s">
        <v>1727</v>
      </c>
      <c r="D432" s="1106" t="s">
        <v>1046</v>
      </c>
      <c r="E432" s="1107" t="s">
        <v>1210</v>
      </c>
      <c r="H432">
        <v>1</v>
      </c>
      <c r="I432" t="s">
        <v>1046</v>
      </c>
    </row>
    <row r="433" spans="1:9" ht="13.5" thickBot="1" x14ac:dyDescent="0.25">
      <c r="A433" s="1111"/>
      <c r="B433" s="1109" t="s">
        <v>1728</v>
      </c>
      <c r="C433" s="1110" t="s">
        <v>1051</v>
      </c>
      <c r="D433" s="1106" t="s">
        <v>1046</v>
      </c>
      <c r="E433" s="1107" t="s">
        <v>1210</v>
      </c>
      <c r="H433">
        <v>1</v>
      </c>
      <c r="I433" t="s">
        <v>1046</v>
      </c>
    </row>
    <row r="434" spans="1:9" ht="23.25" thickBot="1" x14ac:dyDescent="0.25">
      <c r="A434" s="1104" t="s">
        <v>1729</v>
      </c>
      <c r="B434" s="1104" t="s">
        <v>1730</v>
      </c>
      <c r="C434" s="1116" t="s">
        <v>1731</v>
      </c>
      <c r="D434" s="1106" t="s">
        <v>1046</v>
      </c>
      <c r="E434" s="1107" t="s">
        <v>1210</v>
      </c>
      <c r="H434">
        <v>1</v>
      </c>
      <c r="I434" t="s">
        <v>1046</v>
      </c>
    </row>
    <row r="435" spans="1:9" ht="13.5" thickBot="1" x14ac:dyDescent="0.25">
      <c r="A435" s="1108">
        <v>210.01</v>
      </c>
      <c r="B435" s="1109" t="s">
        <v>1732</v>
      </c>
      <c r="C435" s="1110" t="s">
        <v>1731</v>
      </c>
      <c r="D435" s="1106" t="s">
        <v>1046</v>
      </c>
      <c r="E435" s="1107" t="s">
        <v>1210</v>
      </c>
      <c r="H435">
        <v>1</v>
      </c>
      <c r="I435" t="s">
        <v>1046</v>
      </c>
    </row>
    <row r="436" spans="1:9" ht="13.5" thickBot="1" x14ac:dyDescent="0.25">
      <c r="A436" s="1111"/>
      <c r="B436" s="1109" t="s">
        <v>1733</v>
      </c>
      <c r="C436" s="1110" t="s">
        <v>1051</v>
      </c>
      <c r="D436" s="1106" t="s">
        <v>1046</v>
      </c>
      <c r="E436" s="1107" t="s">
        <v>1210</v>
      </c>
      <c r="H436">
        <v>1</v>
      </c>
      <c r="I436" t="s">
        <v>1046</v>
      </c>
    </row>
    <row r="437" spans="1:9" ht="13.5" thickBot="1" x14ac:dyDescent="0.25">
      <c r="A437" s="1108">
        <v>210.02</v>
      </c>
      <c r="B437" s="1109" t="s">
        <v>1734</v>
      </c>
      <c r="C437" s="1110" t="s">
        <v>1735</v>
      </c>
      <c r="D437" s="1106" t="s">
        <v>1046</v>
      </c>
      <c r="E437" s="1107" t="s">
        <v>1210</v>
      </c>
      <c r="H437">
        <v>1</v>
      </c>
      <c r="I437" t="s">
        <v>1046</v>
      </c>
    </row>
    <row r="438" spans="1:9" ht="13.5" thickBot="1" x14ac:dyDescent="0.25">
      <c r="A438" s="1111"/>
      <c r="B438" s="1109" t="s">
        <v>1736</v>
      </c>
      <c r="C438" s="1110" t="s">
        <v>1051</v>
      </c>
      <c r="D438" s="1106" t="s">
        <v>1046</v>
      </c>
      <c r="E438" s="1107" t="s">
        <v>1210</v>
      </c>
      <c r="H438">
        <v>1</v>
      </c>
      <c r="I438" t="s">
        <v>1046</v>
      </c>
    </row>
    <row r="439" spans="1:9" ht="13.5" thickBot="1" x14ac:dyDescent="0.25">
      <c r="A439" s="1108">
        <v>210.03</v>
      </c>
      <c r="B439" s="1109" t="s">
        <v>1737</v>
      </c>
      <c r="C439" s="1110" t="s">
        <v>1738</v>
      </c>
      <c r="D439" s="1106" t="s">
        <v>1046</v>
      </c>
      <c r="E439" s="1107" t="s">
        <v>1210</v>
      </c>
      <c r="H439">
        <v>1</v>
      </c>
      <c r="I439" t="s">
        <v>1046</v>
      </c>
    </row>
    <row r="440" spans="1:9" ht="13.5" thickBot="1" x14ac:dyDescent="0.25">
      <c r="A440" s="1111"/>
      <c r="B440" s="1109" t="s">
        <v>1739</v>
      </c>
      <c r="C440" s="1110" t="s">
        <v>1051</v>
      </c>
      <c r="D440" s="1106" t="s">
        <v>1046</v>
      </c>
      <c r="E440" s="1107" t="s">
        <v>1210</v>
      </c>
      <c r="H440">
        <v>1</v>
      </c>
      <c r="I440" t="s">
        <v>1046</v>
      </c>
    </row>
    <row r="441" spans="1:9" ht="13.5" thickBot="1" x14ac:dyDescent="0.25">
      <c r="A441" s="1108">
        <v>210.04</v>
      </c>
      <c r="B441" s="1109" t="s">
        <v>1740</v>
      </c>
      <c r="C441" s="1110" t="s">
        <v>1741</v>
      </c>
      <c r="D441" s="1106" t="s">
        <v>1046</v>
      </c>
      <c r="E441" s="1107" t="s">
        <v>1210</v>
      </c>
      <c r="H441">
        <v>1</v>
      </c>
      <c r="I441" t="s">
        <v>1046</v>
      </c>
    </row>
    <row r="442" spans="1:9" ht="13.5" thickBot="1" x14ac:dyDescent="0.25">
      <c r="A442" s="1111"/>
      <c r="B442" s="1109" t="s">
        <v>1742</v>
      </c>
      <c r="C442" s="1110" t="s">
        <v>1051</v>
      </c>
      <c r="D442" s="1106" t="s">
        <v>1046</v>
      </c>
      <c r="E442" s="1107" t="s">
        <v>1210</v>
      </c>
      <c r="H442">
        <v>1</v>
      </c>
      <c r="I442" t="s">
        <v>1046</v>
      </c>
    </row>
    <row r="443" spans="1:9" ht="23.25" thickBot="1" x14ac:dyDescent="0.25">
      <c r="A443" s="1108">
        <v>210.05</v>
      </c>
      <c r="B443" s="1109" t="s">
        <v>1743</v>
      </c>
      <c r="C443" s="1110" t="s">
        <v>1744</v>
      </c>
      <c r="D443" s="1106" t="s">
        <v>1046</v>
      </c>
      <c r="E443" s="1107" t="s">
        <v>1210</v>
      </c>
      <c r="H443">
        <v>1</v>
      </c>
      <c r="I443" t="s">
        <v>1046</v>
      </c>
    </row>
    <row r="444" spans="1:9" ht="13.5" thickBot="1" x14ac:dyDescent="0.25">
      <c r="A444" s="1111"/>
      <c r="B444" s="1109" t="s">
        <v>1745</v>
      </c>
      <c r="C444" s="1110" t="s">
        <v>1051</v>
      </c>
      <c r="D444" s="1106" t="s">
        <v>1046</v>
      </c>
      <c r="E444" s="1107" t="s">
        <v>1210</v>
      </c>
      <c r="H444">
        <v>1</v>
      </c>
      <c r="I444" t="s">
        <v>1046</v>
      </c>
    </row>
    <row r="445" spans="1:9" ht="13.5" thickBot="1" x14ac:dyDescent="0.25">
      <c r="A445" s="1108">
        <v>210.06</v>
      </c>
      <c r="B445" s="1109" t="s">
        <v>1746</v>
      </c>
      <c r="C445" s="1110" t="s">
        <v>1747</v>
      </c>
      <c r="D445" s="1106" t="s">
        <v>1046</v>
      </c>
      <c r="E445" s="1107" t="s">
        <v>1210</v>
      </c>
      <c r="H445">
        <v>1</v>
      </c>
      <c r="I445" t="s">
        <v>1046</v>
      </c>
    </row>
    <row r="446" spans="1:9" ht="13.5" thickBot="1" x14ac:dyDescent="0.25">
      <c r="A446" s="1111"/>
      <c r="B446" s="1109" t="s">
        <v>1748</v>
      </c>
      <c r="C446" s="1110" t="s">
        <v>1051</v>
      </c>
      <c r="D446" s="1106" t="s">
        <v>1046</v>
      </c>
      <c r="E446" s="1107" t="s">
        <v>1210</v>
      </c>
      <c r="H446">
        <v>1</v>
      </c>
      <c r="I446" t="s">
        <v>1046</v>
      </c>
    </row>
    <row r="447" spans="1:9" ht="13.5" thickBot="1" x14ac:dyDescent="0.25">
      <c r="A447" s="1108">
        <v>210.07</v>
      </c>
      <c r="B447" s="1109" t="s">
        <v>1749</v>
      </c>
      <c r="C447" s="1110" t="s">
        <v>1750</v>
      </c>
      <c r="D447" s="1106" t="s">
        <v>1046</v>
      </c>
      <c r="E447" s="1107" t="s">
        <v>1210</v>
      </c>
      <c r="H447">
        <v>1</v>
      </c>
      <c r="I447" t="s">
        <v>1046</v>
      </c>
    </row>
    <row r="448" spans="1:9" ht="13.5" thickBot="1" x14ac:dyDescent="0.25">
      <c r="A448" s="1111"/>
      <c r="B448" s="1109" t="s">
        <v>1751</v>
      </c>
      <c r="C448" s="1110" t="s">
        <v>1051</v>
      </c>
      <c r="D448" s="1106" t="s">
        <v>1046</v>
      </c>
      <c r="E448" s="1107" t="s">
        <v>1210</v>
      </c>
      <c r="H448">
        <v>1</v>
      </c>
      <c r="I448" t="s">
        <v>1046</v>
      </c>
    </row>
    <row r="449" spans="1:9" ht="13.5" thickBot="1" x14ac:dyDescent="0.25">
      <c r="A449" s="1104" t="s">
        <v>1752</v>
      </c>
      <c r="B449" s="1104" t="s">
        <v>1753</v>
      </c>
      <c r="C449" s="1143" t="s">
        <v>1754</v>
      </c>
      <c r="D449" s="1106" t="s">
        <v>1046</v>
      </c>
      <c r="E449" s="1107" t="s">
        <v>1210</v>
      </c>
      <c r="H449">
        <v>1</v>
      </c>
      <c r="I449" t="s">
        <v>1046</v>
      </c>
    </row>
    <row r="450" spans="1:9" ht="13.5" thickBot="1" x14ac:dyDescent="0.25">
      <c r="A450" s="1108">
        <v>213.01</v>
      </c>
      <c r="B450" s="1109" t="s">
        <v>1755</v>
      </c>
      <c r="C450" s="1110" t="s">
        <v>1756</v>
      </c>
      <c r="D450" s="1106" t="s">
        <v>1046</v>
      </c>
      <c r="E450" s="1107" t="s">
        <v>1210</v>
      </c>
      <c r="H450">
        <v>1</v>
      </c>
      <c r="I450" t="s">
        <v>1046</v>
      </c>
    </row>
    <row r="451" spans="1:9" ht="13.5" thickBot="1" x14ac:dyDescent="0.25">
      <c r="A451" s="1111"/>
      <c r="B451" s="1109" t="s">
        <v>1757</v>
      </c>
      <c r="C451" s="1110" t="s">
        <v>1051</v>
      </c>
      <c r="D451" s="1106" t="s">
        <v>1046</v>
      </c>
      <c r="E451" s="1107" t="s">
        <v>1210</v>
      </c>
      <c r="H451">
        <v>1</v>
      </c>
      <c r="I451" t="s">
        <v>1046</v>
      </c>
    </row>
    <row r="452" spans="1:9" ht="13.5" thickBot="1" x14ac:dyDescent="0.25">
      <c r="A452" s="1108">
        <v>213.02</v>
      </c>
      <c r="B452" s="1109" t="s">
        <v>1758</v>
      </c>
      <c r="C452" s="1110" t="s">
        <v>1759</v>
      </c>
      <c r="D452" s="1106" t="s">
        <v>1046</v>
      </c>
      <c r="E452" s="1107" t="s">
        <v>1210</v>
      </c>
      <c r="H452">
        <v>1</v>
      </c>
      <c r="I452" t="s">
        <v>1046</v>
      </c>
    </row>
    <row r="453" spans="1:9" ht="13.5" thickBot="1" x14ac:dyDescent="0.25">
      <c r="A453" s="1111"/>
      <c r="B453" s="1109" t="s">
        <v>1760</v>
      </c>
      <c r="C453" s="1110" t="s">
        <v>1051</v>
      </c>
      <c r="D453" s="1106" t="s">
        <v>1046</v>
      </c>
      <c r="E453" s="1107" t="s">
        <v>1210</v>
      </c>
      <c r="H453">
        <v>1</v>
      </c>
      <c r="I453" t="s">
        <v>1046</v>
      </c>
    </row>
    <row r="454" spans="1:9" ht="13.5" thickBot="1" x14ac:dyDescent="0.25">
      <c r="A454" s="1108">
        <v>213.03</v>
      </c>
      <c r="B454" s="1109" t="s">
        <v>1761</v>
      </c>
      <c r="C454" s="1110" t="s">
        <v>1762</v>
      </c>
      <c r="D454" s="1106" t="s">
        <v>1046</v>
      </c>
      <c r="E454" s="1107" t="s">
        <v>1210</v>
      </c>
      <c r="H454">
        <v>1</v>
      </c>
      <c r="I454" t="s">
        <v>1046</v>
      </c>
    </row>
    <row r="455" spans="1:9" ht="13.5" thickBot="1" x14ac:dyDescent="0.25">
      <c r="A455" s="1111"/>
      <c r="B455" s="1109" t="s">
        <v>1763</v>
      </c>
      <c r="C455" s="1110" t="s">
        <v>1051</v>
      </c>
      <c r="D455" s="1106" t="s">
        <v>1046</v>
      </c>
      <c r="E455" s="1107" t="s">
        <v>1210</v>
      </c>
      <c r="H455">
        <v>1</v>
      </c>
      <c r="I455" t="s">
        <v>1046</v>
      </c>
    </row>
    <row r="456" spans="1:9" ht="13.5" thickBot="1" x14ac:dyDescent="0.25">
      <c r="A456" s="1108">
        <v>213.04</v>
      </c>
      <c r="B456" s="1109" t="s">
        <v>1764</v>
      </c>
      <c r="C456" s="1110" t="s">
        <v>1765</v>
      </c>
      <c r="D456" s="1106" t="s">
        <v>1046</v>
      </c>
      <c r="E456" s="1107" t="s">
        <v>1210</v>
      </c>
      <c r="H456">
        <v>1</v>
      </c>
      <c r="I456" t="s">
        <v>1046</v>
      </c>
    </row>
    <row r="457" spans="1:9" ht="13.5" thickBot="1" x14ac:dyDescent="0.25">
      <c r="A457" s="1111"/>
      <c r="B457" s="1109" t="s">
        <v>1766</v>
      </c>
      <c r="C457" s="1110" t="s">
        <v>1051</v>
      </c>
      <c r="D457" s="1106" t="s">
        <v>1046</v>
      </c>
      <c r="E457" s="1107" t="s">
        <v>1210</v>
      </c>
      <c r="H457">
        <v>1</v>
      </c>
      <c r="I457" t="s">
        <v>1046</v>
      </c>
    </row>
    <row r="458" spans="1:9" ht="13.5" thickBot="1" x14ac:dyDescent="0.25">
      <c r="A458" s="1108">
        <v>213.05</v>
      </c>
      <c r="B458" s="1109" t="s">
        <v>1767</v>
      </c>
      <c r="C458" s="1144" t="s">
        <v>1768</v>
      </c>
      <c r="D458" s="1106" t="s">
        <v>1046</v>
      </c>
      <c r="E458" s="1107" t="s">
        <v>1210</v>
      </c>
      <c r="H458">
        <v>1</v>
      </c>
      <c r="I458" t="s">
        <v>1046</v>
      </c>
    </row>
    <row r="459" spans="1:9" ht="13.5" thickBot="1" x14ac:dyDescent="0.25">
      <c r="A459" s="1111"/>
      <c r="B459" s="1109" t="s">
        <v>1769</v>
      </c>
      <c r="C459" s="1110" t="s">
        <v>1051</v>
      </c>
      <c r="D459" s="1106" t="s">
        <v>1046</v>
      </c>
      <c r="E459" s="1107" t="s">
        <v>1210</v>
      </c>
      <c r="H459">
        <v>1</v>
      </c>
      <c r="I459" t="s">
        <v>1046</v>
      </c>
    </row>
    <row r="460" spans="1:9" ht="13.5" thickBot="1" x14ac:dyDescent="0.25">
      <c r="A460" s="1108">
        <v>213.06</v>
      </c>
      <c r="B460" s="1109" t="s">
        <v>1770</v>
      </c>
      <c r="C460" s="1110" t="s">
        <v>1771</v>
      </c>
      <c r="D460" s="1106" t="s">
        <v>1046</v>
      </c>
      <c r="E460" s="1107" t="s">
        <v>1210</v>
      </c>
      <c r="H460">
        <v>1</v>
      </c>
      <c r="I460" t="s">
        <v>1046</v>
      </c>
    </row>
    <row r="461" spans="1:9" ht="13.5" thickBot="1" x14ac:dyDescent="0.25">
      <c r="A461" s="1111"/>
      <c r="B461" s="1109" t="s">
        <v>1772</v>
      </c>
      <c r="C461" s="1110" t="s">
        <v>1051</v>
      </c>
      <c r="D461" s="1106" t="s">
        <v>1046</v>
      </c>
      <c r="E461" s="1107" t="s">
        <v>1210</v>
      </c>
      <c r="H461">
        <v>1</v>
      </c>
      <c r="I461" t="s">
        <v>1046</v>
      </c>
    </row>
    <row r="462" spans="1:9" ht="13.5" thickBot="1" x14ac:dyDescent="0.25">
      <c r="A462" s="1108">
        <v>213.07</v>
      </c>
      <c r="B462" s="1109" t="s">
        <v>1773</v>
      </c>
      <c r="C462" s="1110" t="s">
        <v>1774</v>
      </c>
      <c r="D462" s="1106" t="s">
        <v>1046</v>
      </c>
      <c r="E462" s="1107" t="s">
        <v>1210</v>
      </c>
      <c r="H462">
        <v>1</v>
      </c>
      <c r="I462" t="s">
        <v>1046</v>
      </c>
    </row>
    <row r="463" spans="1:9" ht="13.5" thickBot="1" x14ac:dyDescent="0.25">
      <c r="A463" s="1111"/>
      <c r="B463" s="1109" t="s">
        <v>1775</v>
      </c>
      <c r="C463" s="1110" t="s">
        <v>1051</v>
      </c>
      <c r="D463" s="1106" t="s">
        <v>1046</v>
      </c>
      <c r="E463" s="1107" t="s">
        <v>1210</v>
      </c>
      <c r="H463">
        <v>1</v>
      </c>
      <c r="I463" t="s">
        <v>1046</v>
      </c>
    </row>
    <row r="464" spans="1:9" ht="13.5" thickBot="1" x14ac:dyDescent="0.25">
      <c r="A464" s="1133">
        <v>211.01</v>
      </c>
      <c r="B464" s="1109" t="s">
        <v>1776</v>
      </c>
      <c r="C464" s="1110" t="s">
        <v>1777</v>
      </c>
      <c r="D464" s="1106" t="s">
        <v>1046</v>
      </c>
      <c r="E464" s="1107" t="s">
        <v>1210</v>
      </c>
      <c r="H464">
        <v>1</v>
      </c>
      <c r="I464" t="s">
        <v>1046</v>
      </c>
    </row>
    <row r="465" spans="1:9" ht="13.5" thickBot="1" x14ac:dyDescent="0.25">
      <c r="A465" s="1111"/>
      <c r="B465" s="1109" t="s">
        <v>1778</v>
      </c>
      <c r="C465" s="1110" t="s">
        <v>1051</v>
      </c>
      <c r="D465" s="1106" t="s">
        <v>1046</v>
      </c>
      <c r="E465" s="1107" t="s">
        <v>1210</v>
      </c>
      <c r="H465">
        <v>1</v>
      </c>
      <c r="I465" t="s">
        <v>1046</v>
      </c>
    </row>
    <row r="466" spans="1:9" ht="13.5" thickBot="1" x14ac:dyDescent="0.25">
      <c r="A466" s="1133">
        <v>211.02</v>
      </c>
      <c r="B466" s="1109" t="s">
        <v>1779</v>
      </c>
      <c r="C466" s="1110" t="s">
        <v>1780</v>
      </c>
      <c r="D466" s="1106" t="s">
        <v>1046</v>
      </c>
      <c r="E466" s="1107" t="s">
        <v>1210</v>
      </c>
      <c r="H466">
        <v>1</v>
      </c>
      <c r="I466" t="s">
        <v>1046</v>
      </c>
    </row>
    <row r="467" spans="1:9" ht="13.5" thickBot="1" x14ac:dyDescent="0.25">
      <c r="A467" s="1111"/>
      <c r="B467" s="1109" t="s">
        <v>1781</v>
      </c>
      <c r="C467" s="1110" t="s">
        <v>1051</v>
      </c>
      <c r="D467" s="1106" t="s">
        <v>1046</v>
      </c>
      <c r="E467" s="1107" t="s">
        <v>1210</v>
      </c>
      <c r="H467">
        <v>1</v>
      </c>
      <c r="I467" t="s">
        <v>1046</v>
      </c>
    </row>
    <row r="468" spans="1:9" ht="13.5" thickBot="1" x14ac:dyDescent="0.25">
      <c r="A468" s="1133">
        <v>211.03</v>
      </c>
      <c r="B468" s="1109" t="s">
        <v>1782</v>
      </c>
      <c r="C468" s="1110" t="s">
        <v>1783</v>
      </c>
      <c r="D468" s="1106" t="s">
        <v>1046</v>
      </c>
      <c r="E468" s="1107" t="s">
        <v>1210</v>
      </c>
      <c r="H468">
        <v>1</v>
      </c>
      <c r="I468" t="s">
        <v>1046</v>
      </c>
    </row>
    <row r="469" spans="1:9" ht="13.5" thickBot="1" x14ac:dyDescent="0.25">
      <c r="A469" s="1111"/>
      <c r="B469" s="1109" t="s">
        <v>1784</v>
      </c>
      <c r="C469" s="1110" t="s">
        <v>1051</v>
      </c>
      <c r="D469" s="1106" t="s">
        <v>1046</v>
      </c>
      <c r="E469" s="1107" t="s">
        <v>1210</v>
      </c>
      <c r="H469">
        <v>1</v>
      </c>
      <c r="I469" t="s">
        <v>1046</v>
      </c>
    </row>
    <row r="470" spans="1:9" ht="13.5" thickBot="1" x14ac:dyDescent="0.25">
      <c r="A470" s="1104" t="s">
        <v>1785</v>
      </c>
      <c r="B470" s="1104" t="s">
        <v>1786</v>
      </c>
      <c r="C470" s="1116" t="s">
        <v>1787</v>
      </c>
      <c r="D470" s="1106" t="s">
        <v>1046</v>
      </c>
      <c r="E470" s="1107" t="s">
        <v>1210</v>
      </c>
      <c r="H470">
        <v>1</v>
      </c>
      <c r="I470" t="s">
        <v>1046</v>
      </c>
    </row>
    <row r="471" spans="1:9" ht="13.5" thickBot="1" x14ac:dyDescent="0.25">
      <c r="A471" s="1108">
        <v>215.01</v>
      </c>
      <c r="B471" s="1109" t="s">
        <v>1788</v>
      </c>
      <c r="C471" s="1110" t="s">
        <v>1787</v>
      </c>
      <c r="D471" s="1106" t="s">
        <v>1046</v>
      </c>
      <c r="E471" s="1107" t="s">
        <v>1210</v>
      </c>
      <c r="H471">
        <v>1</v>
      </c>
      <c r="I471" t="s">
        <v>1046</v>
      </c>
    </row>
    <row r="472" spans="1:9" ht="13.5" thickBot="1" x14ac:dyDescent="0.25">
      <c r="A472" s="1111"/>
      <c r="B472" s="1109" t="s">
        <v>1789</v>
      </c>
      <c r="C472" s="1110" t="s">
        <v>1051</v>
      </c>
      <c r="D472" s="1106" t="s">
        <v>1046</v>
      </c>
      <c r="E472" s="1107" t="s">
        <v>1210</v>
      </c>
      <c r="H472">
        <v>1</v>
      </c>
      <c r="I472" t="s">
        <v>1046</v>
      </c>
    </row>
    <row r="473" spans="1:9" ht="13.5" thickBot="1" x14ac:dyDescent="0.25">
      <c r="A473" s="1108">
        <v>215.02</v>
      </c>
      <c r="B473" s="1109" t="s">
        <v>1790</v>
      </c>
      <c r="C473" s="1110" t="s">
        <v>1791</v>
      </c>
      <c r="D473" s="1106" t="s">
        <v>1046</v>
      </c>
      <c r="E473" s="1107" t="s">
        <v>1210</v>
      </c>
      <c r="H473">
        <v>1</v>
      </c>
      <c r="I473" t="s">
        <v>1046</v>
      </c>
    </row>
    <row r="474" spans="1:9" ht="13.5" thickBot="1" x14ac:dyDescent="0.25">
      <c r="A474" s="1111"/>
      <c r="B474" s="1109" t="s">
        <v>1792</v>
      </c>
      <c r="C474" s="1110" t="s">
        <v>1051</v>
      </c>
      <c r="D474" s="1106" t="s">
        <v>1046</v>
      </c>
      <c r="E474" s="1107" t="s">
        <v>1210</v>
      </c>
      <c r="H474">
        <v>1</v>
      </c>
      <c r="I474" t="s">
        <v>1046</v>
      </c>
    </row>
    <row r="475" spans="1:9" ht="13.5" thickBot="1" x14ac:dyDescent="0.25">
      <c r="A475" s="1108">
        <v>215.03</v>
      </c>
      <c r="B475" s="1109" t="s">
        <v>1793</v>
      </c>
      <c r="C475" s="1110" t="s">
        <v>1794</v>
      </c>
      <c r="D475" s="1106" t="s">
        <v>1046</v>
      </c>
      <c r="E475" s="1107" t="s">
        <v>1210</v>
      </c>
      <c r="H475">
        <v>1</v>
      </c>
      <c r="I475" t="s">
        <v>1046</v>
      </c>
    </row>
    <row r="476" spans="1:9" ht="13.5" thickBot="1" x14ac:dyDescent="0.25">
      <c r="A476" s="1111"/>
      <c r="B476" s="1109" t="s">
        <v>1795</v>
      </c>
      <c r="C476" s="1110" t="s">
        <v>1051</v>
      </c>
      <c r="D476" s="1106" t="s">
        <v>1046</v>
      </c>
      <c r="E476" s="1107" t="s">
        <v>1210</v>
      </c>
      <c r="H476">
        <v>1</v>
      </c>
      <c r="I476" t="s">
        <v>1046</v>
      </c>
    </row>
    <row r="477" spans="1:9" ht="13.5" thickBot="1" x14ac:dyDescent="0.25">
      <c r="A477" s="1104" t="s">
        <v>1796</v>
      </c>
      <c r="B477" s="1104" t="s">
        <v>1797</v>
      </c>
      <c r="C477" s="1116" t="s">
        <v>1798</v>
      </c>
      <c r="D477" s="1106" t="s">
        <v>1046</v>
      </c>
      <c r="E477" s="1107" t="s">
        <v>1210</v>
      </c>
      <c r="H477">
        <v>1</v>
      </c>
      <c r="I477" t="s">
        <v>1046</v>
      </c>
    </row>
    <row r="478" spans="1:9" ht="13.5" thickBot="1" x14ac:dyDescent="0.25">
      <c r="A478" s="1108">
        <v>216.01</v>
      </c>
      <c r="B478" s="1109" t="s">
        <v>1799</v>
      </c>
      <c r="C478" s="1110" t="s">
        <v>1800</v>
      </c>
      <c r="D478" s="1106" t="s">
        <v>1046</v>
      </c>
      <c r="E478" s="1107" t="s">
        <v>1210</v>
      </c>
      <c r="H478">
        <v>1</v>
      </c>
      <c r="I478" t="s">
        <v>1046</v>
      </c>
    </row>
    <row r="479" spans="1:9" ht="13.5" thickBot="1" x14ac:dyDescent="0.25">
      <c r="A479" s="1111"/>
      <c r="B479" s="1109" t="s">
        <v>1801</v>
      </c>
      <c r="C479" s="1110" t="s">
        <v>1051</v>
      </c>
      <c r="D479" s="1106" t="s">
        <v>1046</v>
      </c>
      <c r="E479" s="1107" t="s">
        <v>1210</v>
      </c>
      <c r="H479">
        <v>1</v>
      </c>
      <c r="I479" t="s">
        <v>1046</v>
      </c>
    </row>
    <row r="480" spans="1:9" ht="13.5" thickBot="1" x14ac:dyDescent="0.25">
      <c r="A480" s="1108">
        <v>216.02</v>
      </c>
      <c r="B480" s="1109" t="s">
        <v>1802</v>
      </c>
      <c r="C480" s="1110" t="s">
        <v>1803</v>
      </c>
      <c r="D480" s="1106" t="s">
        <v>1046</v>
      </c>
      <c r="E480" s="1107" t="s">
        <v>1210</v>
      </c>
      <c r="H480">
        <v>1</v>
      </c>
      <c r="I480" t="s">
        <v>1046</v>
      </c>
    </row>
    <row r="481" spans="1:9" ht="13.5" thickBot="1" x14ac:dyDescent="0.25">
      <c r="A481" s="1111"/>
      <c r="B481" s="1109" t="s">
        <v>1804</v>
      </c>
      <c r="C481" s="1110" t="s">
        <v>1051</v>
      </c>
      <c r="D481" s="1106" t="s">
        <v>1046</v>
      </c>
      <c r="E481" s="1107" t="s">
        <v>1210</v>
      </c>
      <c r="H481">
        <v>1</v>
      </c>
      <c r="I481" t="s">
        <v>1046</v>
      </c>
    </row>
    <row r="482" spans="1:9" ht="21.75" thickBot="1" x14ac:dyDescent="0.25">
      <c r="A482" s="1108">
        <v>216.03</v>
      </c>
      <c r="B482" s="1109" t="s">
        <v>1805</v>
      </c>
      <c r="C482" s="1134" t="s">
        <v>1806</v>
      </c>
      <c r="D482" s="1106" t="s">
        <v>1046</v>
      </c>
      <c r="E482" s="1107" t="s">
        <v>1210</v>
      </c>
      <c r="H482">
        <v>1</v>
      </c>
      <c r="I482" t="s">
        <v>1046</v>
      </c>
    </row>
    <row r="483" spans="1:9" ht="13.5" thickBot="1" x14ac:dyDescent="0.25">
      <c r="A483" s="1111"/>
      <c r="B483" s="1109" t="s">
        <v>1807</v>
      </c>
      <c r="C483" s="1110" t="s">
        <v>1051</v>
      </c>
      <c r="D483" s="1106" t="s">
        <v>1046</v>
      </c>
      <c r="E483" s="1107" t="s">
        <v>1210</v>
      </c>
      <c r="H483">
        <v>1</v>
      </c>
      <c r="I483" t="s">
        <v>1046</v>
      </c>
    </row>
    <row r="484" spans="1:9" ht="13.5" thickBot="1" x14ac:dyDescent="0.25">
      <c r="A484" s="1108">
        <v>216.04</v>
      </c>
      <c r="B484" s="1109" t="s">
        <v>1808</v>
      </c>
      <c r="C484" s="1110" t="s">
        <v>1809</v>
      </c>
      <c r="D484" s="1106" t="s">
        <v>1046</v>
      </c>
      <c r="E484" s="1107" t="s">
        <v>1210</v>
      </c>
      <c r="H484">
        <v>1</v>
      </c>
      <c r="I484" t="s">
        <v>1046</v>
      </c>
    </row>
    <row r="485" spans="1:9" ht="13.5" thickBot="1" x14ac:dyDescent="0.25">
      <c r="A485" s="1111"/>
      <c r="B485" s="1109" t="s">
        <v>1810</v>
      </c>
      <c r="C485" s="1110" t="s">
        <v>1051</v>
      </c>
      <c r="D485" s="1106" t="s">
        <v>1046</v>
      </c>
      <c r="E485" s="1107" t="s">
        <v>1210</v>
      </c>
      <c r="H485">
        <v>1</v>
      </c>
      <c r="I485" t="s">
        <v>1046</v>
      </c>
    </row>
    <row r="486" spans="1:9" ht="13.5" thickBot="1" x14ac:dyDescent="0.25">
      <c r="A486" s="1108">
        <v>216.05</v>
      </c>
      <c r="B486" s="1109" t="s">
        <v>1811</v>
      </c>
      <c r="C486" s="1110" t="s">
        <v>1812</v>
      </c>
      <c r="D486" s="1106" t="s">
        <v>1046</v>
      </c>
      <c r="E486" s="1107" t="s">
        <v>1210</v>
      </c>
      <c r="H486">
        <v>1</v>
      </c>
      <c r="I486" t="s">
        <v>1046</v>
      </c>
    </row>
    <row r="487" spans="1:9" ht="13.5" thickBot="1" x14ac:dyDescent="0.25">
      <c r="A487" s="1111"/>
      <c r="B487" s="1109" t="s">
        <v>1813</v>
      </c>
      <c r="C487" s="1110" t="s">
        <v>1051</v>
      </c>
      <c r="D487" s="1106" t="s">
        <v>1046</v>
      </c>
      <c r="E487" s="1107" t="s">
        <v>1210</v>
      </c>
      <c r="H487">
        <v>1</v>
      </c>
      <c r="I487" t="s">
        <v>1046</v>
      </c>
    </row>
    <row r="488" spans="1:9" ht="13.5" thickBot="1" x14ac:dyDescent="0.25">
      <c r="A488" s="1108">
        <v>216.06</v>
      </c>
      <c r="B488" s="1109" t="s">
        <v>1814</v>
      </c>
      <c r="C488" s="1110" t="s">
        <v>1815</v>
      </c>
      <c r="D488" s="1106" t="s">
        <v>1046</v>
      </c>
      <c r="E488" s="1107" t="s">
        <v>1210</v>
      </c>
      <c r="H488">
        <v>1</v>
      </c>
      <c r="I488" t="s">
        <v>1046</v>
      </c>
    </row>
    <row r="489" spans="1:9" ht="13.5" thickBot="1" x14ac:dyDescent="0.25">
      <c r="A489" s="1111"/>
      <c r="B489" s="1109" t="s">
        <v>1816</v>
      </c>
      <c r="C489" s="1110" t="s">
        <v>1051</v>
      </c>
      <c r="D489" s="1106" t="s">
        <v>1046</v>
      </c>
      <c r="E489" s="1107" t="s">
        <v>1210</v>
      </c>
      <c r="H489">
        <v>1</v>
      </c>
      <c r="I489" t="s">
        <v>1046</v>
      </c>
    </row>
    <row r="490" spans="1:9" ht="13.5" thickBot="1" x14ac:dyDescent="0.25">
      <c r="A490" s="1108">
        <v>216.07</v>
      </c>
      <c r="B490" s="1109" t="s">
        <v>1817</v>
      </c>
      <c r="C490" s="1110" t="s">
        <v>1818</v>
      </c>
      <c r="D490" s="1106" t="s">
        <v>1046</v>
      </c>
      <c r="E490" s="1107" t="s">
        <v>1210</v>
      </c>
      <c r="H490">
        <v>1</v>
      </c>
      <c r="I490" t="s">
        <v>1046</v>
      </c>
    </row>
    <row r="491" spans="1:9" ht="13.5" thickBot="1" x14ac:dyDescent="0.25">
      <c r="A491" s="1111"/>
      <c r="B491" s="1109" t="s">
        <v>1819</v>
      </c>
      <c r="C491" s="1110" t="s">
        <v>1051</v>
      </c>
      <c r="D491" s="1106" t="s">
        <v>1046</v>
      </c>
      <c r="E491" s="1107" t="s">
        <v>1210</v>
      </c>
      <c r="H491">
        <v>1</v>
      </c>
      <c r="I491" t="s">
        <v>1046</v>
      </c>
    </row>
    <row r="492" spans="1:9" ht="13.5" thickBot="1" x14ac:dyDescent="0.25">
      <c r="A492" s="1108">
        <v>216.08</v>
      </c>
      <c r="B492" s="1109" t="s">
        <v>1820</v>
      </c>
      <c r="C492" s="1110" t="s">
        <v>1821</v>
      </c>
      <c r="D492" s="1106" t="s">
        <v>1046</v>
      </c>
      <c r="E492" s="1107" t="s">
        <v>1210</v>
      </c>
      <c r="H492">
        <v>1</v>
      </c>
      <c r="I492" t="s">
        <v>1046</v>
      </c>
    </row>
    <row r="493" spans="1:9" ht="13.5" thickBot="1" x14ac:dyDescent="0.25">
      <c r="A493" s="1111"/>
      <c r="B493" s="1109" t="s">
        <v>1822</v>
      </c>
      <c r="C493" s="1110" t="s">
        <v>1051</v>
      </c>
      <c r="D493" s="1106" t="s">
        <v>1046</v>
      </c>
      <c r="E493" s="1107" t="s">
        <v>1210</v>
      </c>
      <c r="H493">
        <v>1</v>
      </c>
      <c r="I493" t="s">
        <v>1046</v>
      </c>
    </row>
    <row r="494" spans="1:9" ht="13.5" thickBot="1" x14ac:dyDescent="0.25">
      <c r="A494" s="1108">
        <v>216.09</v>
      </c>
      <c r="B494" s="1109" t="s">
        <v>1823</v>
      </c>
      <c r="C494" s="1110" t="s">
        <v>1824</v>
      </c>
      <c r="D494" s="1106" t="s">
        <v>1046</v>
      </c>
      <c r="E494" s="1107" t="s">
        <v>1210</v>
      </c>
      <c r="H494">
        <v>1</v>
      </c>
      <c r="I494" t="s">
        <v>1046</v>
      </c>
    </row>
    <row r="495" spans="1:9" ht="13.5" thickBot="1" x14ac:dyDescent="0.25">
      <c r="A495" s="1111"/>
      <c r="B495" s="1109" t="s">
        <v>1825</v>
      </c>
      <c r="C495" s="1110" t="s">
        <v>1051</v>
      </c>
      <c r="D495" s="1106" t="s">
        <v>1046</v>
      </c>
      <c r="E495" s="1107" t="s">
        <v>1210</v>
      </c>
      <c r="H495">
        <v>1</v>
      </c>
      <c r="I495" t="s">
        <v>1046</v>
      </c>
    </row>
    <row r="496" spans="1:9" ht="13.5" thickBot="1" x14ac:dyDescent="0.25">
      <c r="A496" s="1108">
        <v>216.1</v>
      </c>
      <c r="B496" s="1131" t="s">
        <v>1826</v>
      </c>
      <c r="C496" s="1132" t="s">
        <v>1827</v>
      </c>
      <c r="D496" s="1106" t="s">
        <v>1046</v>
      </c>
      <c r="E496" s="1107" t="s">
        <v>1210</v>
      </c>
      <c r="H496">
        <v>1</v>
      </c>
      <c r="I496" t="s">
        <v>1046</v>
      </c>
    </row>
    <row r="497" spans="1:9" ht="13.5" thickBot="1" x14ac:dyDescent="0.25">
      <c r="A497" s="1111"/>
      <c r="B497" s="1131" t="s">
        <v>1828</v>
      </c>
      <c r="C497" s="1132" t="s">
        <v>1051</v>
      </c>
      <c r="D497" s="1106" t="s">
        <v>1046</v>
      </c>
      <c r="E497" s="1107" t="s">
        <v>1210</v>
      </c>
      <c r="H497">
        <v>1</v>
      </c>
      <c r="I497" t="s">
        <v>1046</v>
      </c>
    </row>
    <row r="498" spans="1:9" ht="13.5" thickBot="1" x14ac:dyDescent="0.25">
      <c r="A498" s="1108">
        <v>216.11</v>
      </c>
      <c r="B498" s="1109" t="s">
        <v>1829</v>
      </c>
      <c r="C498" s="1110" t="s">
        <v>1830</v>
      </c>
      <c r="D498" s="1106" t="s">
        <v>1046</v>
      </c>
      <c r="E498" s="1107" t="s">
        <v>1210</v>
      </c>
      <c r="H498">
        <v>1</v>
      </c>
      <c r="I498" t="s">
        <v>1046</v>
      </c>
    </row>
    <row r="499" spans="1:9" ht="13.5" thickBot="1" x14ac:dyDescent="0.25">
      <c r="A499" s="1111"/>
      <c r="B499" s="1109" t="s">
        <v>1831</v>
      </c>
      <c r="C499" s="1110" t="s">
        <v>1051</v>
      </c>
      <c r="D499" s="1106" t="s">
        <v>1046</v>
      </c>
      <c r="E499" s="1107" t="s">
        <v>1210</v>
      </c>
      <c r="H499">
        <v>1</v>
      </c>
      <c r="I499" t="s">
        <v>1046</v>
      </c>
    </row>
    <row r="500" spans="1:9" ht="13.5" thickBot="1" x14ac:dyDescent="0.25">
      <c r="A500" s="1108">
        <v>216.12</v>
      </c>
      <c r="B500" s="1109" t="s">
        <v>1832</v>
      </c>
      <c r="C500" s="1110" t="s">
        <v>1833</v>
      </c>
      <c r="D500" s="1106" t="s">
        <v>1046</v>
      </c>
      <c r="E500" s="1107" t="s">
        <v>1210</v>
      </c>
      <c r="H500">
        <v>1</v>
      </c>
      <c r="I500" t="s">
        <v>1046</v>
      </c>
    </row>
    <row r="501" spans="1:9" x14ac:dyDescent="0.2">
      <c r="A501" s="1119"/>
      <c r="B501" s="1120" t="s">
        <v>1834</v>
      </c>
      <c r="C501" s="1121" t="s">
        <v>1051</v>
      </c>
      <c r="D501" s="1122" t="s">
        <v>1046</v>
      </c>
      <c r="E501" s="1123" t="s">
        <v>1210</v>
      </c>
      <c r="H501">
        <v>1</v>
      </c>
      <c r="I501" t="s">
        <v>1046</v>
      </c>
    </row>
    <row r="502" spans="1:9" x14ac:dyDescent="0.2">
      <c r="A502" s="1104" t="s">
        <v>1835</v>
      </c>
      <c r="B502" s="1104" t="s">
        <v>1836</v>
      </c>
      <c r="C502" s="1124" t="s">
        <v>1837</v>
      </c>
      <c r="D502" s="1106" t="s">
        <v>1046</v>
      </c>
      <c r="E502" s="1139" t="s">
        <v>1210</v>
      </c>
      <c r="F502" s="1140"/>
      <c r="G502" s="1141"/>
      <c r="H502" s="1141">
        <v>1</v>
      </c>
      <c r="I502" s="1141" t="s">
        <v>1046</v>
      </c>
    </row>
    <row r="503" spans="1:9" ht="13.5" thickBot="1" x14ac:dyDescent="0.25">
      <c r="A503" s="1127">
        <v>218.01</v>
      </c>
      <c r="B503" s="1128" t="s">
        <v>1838</v>
      </c>
      <c r="C503" s="1110" t="s">
        <v>1837</v>
      </c>
      <c r="D503" s="1129" t="s">
        <v>1046</v>
      </c>
      <c r="E503" s="1130" t="s">
        <v>1210</v>
      </c>
      <c r="H503">
        <v>1</v>
      </c>
      <c r="I503" t="s">
        <v>1046</v>
      </c>
    </row>
    <row r="504" spans="1:9" ht="13.5" thickBot="1" x14ac:dyDescent="0.25">
      <c r="A504" s="1111"/>
      <c r="B504" s="1109" t="s">
        <v>1839</v>
      </c>
      <c r="C504" s="1110" t="s">
        <v>1051</v>
      </c>
      <c r="D504" s="1106" t="s">
        <v>1046</v>
      </c>
      <c r="E504" s="1107" t="s">
        <v>1210</v>
      </c>
      <c r="H504">
        <v>1</v>
      </c>
      <c r="I504" t="s">
        <v>1046</v>
      </c>
    </row>
    <row r="505" spans="1:9" ht="13.5" thickBot="1" x14ac:dyDescent="0.25">
      <c r="A505" s="1108">
        <v>218.01</v>
      </c>
      <c r="B505" s="1109" t="s">
        <v>1840</v>
      </c>
      <c r="C505" s="1110" t="s">
        <v>1841</v>
      </c>
      <c r="D505" s="1106" t="s">
        <v>1046</v>
      </c>
      <c r="E505" s="1107" t="s">
        <v>1210</v>
      </c>
      <c r="H505">
        <v>1</v>
      </c>
      <c r="I505" t="s">
        <v>1046</v>
      </c>
    </row>
    <row r="506" spans="1:9" ht="13.5" thickBot="1" x14ac:dyDescent="0.25">
      <c r="A506" s="1111"/>
      <c r="B506" s="1109" t="s">
        <v>1842</v>
      </c>
      <c r="C506" s="1110" t="s">
        <v>1051</v>
      </c>
      <c r="D506" s="1106" t="s">
        <v>1046</v>
      </c>
      <c r="E506" s="1107" t="s">
        <v>1210</v>
      </c>
      <c r="H506">
        <v>1</v>
      </c>
      <c r="I506" t="s">
        <v>1046</v>
      </c>
    </row>
    <row r="507" spans="1:9" ht="13.5" thickBot="1" x14ac:dyDescent="0.25">
      <c r="A507" s="1108">
        <v>218.01</v>
      </c>
      <c r="B507" s="1109" t="s">
        <v>1843</v>
      </c>
      <c r="C507" s="1110" t="s">
        <v>1844</v>
      </c>
      <c r="D507" s="1106" t="s">
        <v>1046</v>
      </c>
      <c r="E507" s="1107" t="s">
        <v>1210</v>
      </c>
      <c r="H507">
        <v>1</v>
      </c>
      <c r="I507" t="s">
        <v>1046</v>
      </c>
    </row>
    <row r="508" spans="1:9" x14ac:dyDescent="0.2">
      <c r="A508" s="1119"/>
      <c r="B508" s="1120" t="s">
        <v>1845</v>
      </c>
      <c r="C508" s="1121" t="s">
        <v>1051</v>
      </c>
      <c r="D508" s="1122" t="s">
        <v>1046</v>
      </c>
      <c r="E508" s="1123" t="s">
        <v>1210</v>
      </c>
      <c r="H508">
        <v>1</v>
      </c>
      <c r="I508" t="s">
        <v>1046</v>
      </c>
    </row>
    <row r="509" spans="1:9" x14ac:dyDescent="0.2">
      <c r="A509" s="1104" t="s">
        <v>1846</v>
      </c>
      <c r="B509" s="1104" t="s">
        <v>1847</v>
      </c>
      <c r="C509" s="1124" t="s">
        <v>1848</v>
      </c>
      <c r="D509" s="1106" t="s">
        <v>1046</v>
      </c>
      <c r="E509" s="1139" t="s">
        <v>1210</v>
      </c>
      <c r="F509" s="1140"/>
      <c r="G509" s="1141"/>
      <c r="H509" s="1141">
        <v>1</v>
      </c>
      <c r="I509" s="1141" t="s">
        <v>1046</v>
      </c>
    </row>
    <row r="510" spans="1:9" ht="13.5" thickBot="1" x14ac:dyDescent="0.25">
      <c r="A510" s="1127">
        <v>252.01</v>
      </c>
      <c r="B510" s="1128" t="s">
        <v>1849</v>
      </c>
      <c r="C510" s="1110" t="s">
        <v>1850</v>
      </c>
      <c r="D510" s="1129" t="s">
        <v>1046</v>
      </c>
      <c r="E510" s="1130" t="s">
        <v>1210</v>
      </c>
      <c r="H510">
        <v>1</v>
      </c>
      <c r="I510" t="s">
        <v>1046</v>
      </c>
    </row>
    <row r="511" spans="1:9" ht="13.5" thickBot="1" x14ac:dyDescent="0.25">
      <c r="A511" s="1111"/>
      <c r="B511" s="1109" t="s">
        <v>1851</v>
      </c>
      <c r="C511" s="1110" t="s">
        <v>1051</v>
      </c>
      <c r="D511" s="1106" t="s">
        <v>1046</v>
      </c>
      <c r="E511" s="1107" t="s">
        <v>1210</v>
      </c>
      <c r="H511">
        <v>1</v>
      </c>
      <c r="I511" t="s">
        <v>1046</v>
      </c>
    </row>
    <row r="512" spans="1:9" ht="13.5" thickBot="1" x14ac:dyDescent="0.25">
      <c r="A512" s="1108">
        <v>252.02</v>
      </c>
      <c r="B512" s="1109" t="s">
        <v>1852</v>
      </c>
      <c r="C512" s="1110" t="s">
        <v>1853</v>
      </c>
      <c r="D512" s="1106" t="s">
        <v>1046</v>
      </c>
      <c r="E512" s="1107" t="s">
        <v>1210</v>
      </c>
      <c r="H512">
        <v>1</v>
      </c>
      <c r="I512" t="s">
        <v>1046</v>
      </c>
    </row>
    <row r="513" spans="1:9" ht="13.5" thickBot="1" x14ac:dyDescent="0.25">
      <c r="A513" s="1111"/>
      <c r="B513" s="1109" t="s">
        <v>1854</v>
      </c>
      <c r="C513" s="1110" t="s">
        <v>1051</v>
      </c>
      <c r="D513" s="1106" t="s">
        <v>1046</v>
      </c>
      <c r="E513" s="1107" t="s">
        <v>1210</v>
      </c>
      <c r="H513">
        <v>1</v>
      </c>
      <c r="I513" t="s">
        <v>1046</v>
      </c>
    </row>
    <row r="514" spans="1:9" ht="13.5" thickBot="1" x14ac:dyDescent="0.25">
      <c r="A514" s="1108">
        <v>252.03</v>
      </c>
      <c r="B514" s="1109" t="s">
        <v>1855</v>
      </c>
      <c r="C514" s="1110" t="s">
        <v>1856</v>
      </c>
      <c r="D514" s="1106" t="s">
        <v>1046</v>
      </c>
      <c r="E514" s="1107" t="s">
        <v>1210</v>
      </c>
      <c r="H514">
        <v>1</v>
      </c>
      <c r="I514" t="s">
        <v>1046</v>
      </c>
    </row>
    <row r="515" spans="1:9" ht="13.5" thickBot="1" x14ac:dyDescent="0.25">
      <c r="A515" s="1111"/>
      <c r="B515" s="1109" t="s">
        <v>1857</v>
      </c>
      <c r="C515" s="1110" t="s">
        <v>1051</v>
      </c>
      <c r="D515" s="1106" t="s">
        <v>1046</v>
      </c>
      <c r="E515" s="1107" t="s">
        <v>1210</v>
      </c>
      <c r="H515">
        <v>1</v>
      </c>
      <c r="I515" t="s">
        <v>1046</v>
      </c>
    </row>
    <row r="516" spans="1:9" ht="13.5" thickBot="1" x14ac:dyDescent="0.25">
      <c r="A516" s="1108">
        <v>252.04</v>
      </c>
      <c r="B516" s="1109" t="s">
        <v>1858</v>
      </c>
      <c r="C516" s="1110" t="s">
        <v>1859</v>
      </c>
      <c r="D516" s="1106" t="s">
        <v>1046</v>
      </c>
      <c r="E516" s="1107" t="s">
        <v>1210</v>
      </c>
      <c r="H516">
        <v>1</v>
      </c>
      <c r="I516" t="s">
        <v>1046</v>
      </c>
    </row>
    <row r="517" spans="1:9" ht="13.5" thickBot="1" x14ac:dyDescent="0.25">
      <c r="A517" s="1111"/>
      <c r="B517" s="1109" t="s">
        <v>1860</v>
      </c>
      <c r="C517" s="1110" t="s">
        <v>1051</v>
      </c>
      <c r="D517" s="1106" t="s">
        <v>1046</v>
      </c>
      <c r="E517" s="1107" t="s">
        <v>1210</v>
      </c>
      <c r="H517">
        <v>1</v>
      </c>
      <c r="I517" t="s">
        <v>1046</v>
      </c>
    </row>
    <row r="518" spans="1:9" ht="13.5" thickBot="1" x14ac:dyDescent="0.25">
      <c r="A518" s="1108">
        <v>252.05</v>
      </c>
      <c r="B518" s="1109" t="s">
        <v>1861</v>
      </c>
      <c r="C518" s="1110" t="s">
        <v>1862</v>
      </c>
      <c r="D518" s="1106" t="s">
        <v>1046</v>
      </c>
      <c r="E518" s="1107" t="s">
        <v>1210</v>
      </c>
      <c r="H518">
        <v>1</v>
      </c>
      <c r="I518" t="s">
        <v>1046</v>
      </c>
    </row>
    <row r="519" spans="1:9" ht="13.5" thickBot="1" x14ac:dyDescent="0.25">
      <c r="A519" s="1111"/>
      <c r="B519" s="1109" t="s">
        <v>1863</v>
      </c>
      <c r="C519" s="1110" t="s">
        <v>1051</v>
      </c>
      <c r="D519" s="1106" t="s">
        <v>1046</v>
      </c>
      <c r="E519" s="1107" t="s">
        <v>1210</v>
      </c>
      <c r="H519">
        <v>1</v>
      </c>
      <c r="I519" t="s">
        <v>1046</v>
      </c>
    </row>
    <row r="520" spans="1:9" ht="13.5" thickBot="1" x14ac:dyDescent="0.25">
      <c r="A520" s="1108">
        <v>252.06</v>
      </c>
      <c r="B520" s="1109" t="s">
        <v>1864</v>
      </c>
      <c r="C520" s="1110" t="s">
        <v>1865</v>
      </c>
      <c r="D520" s="1106" t="s">
        <v>1046</v>
      </c>
      <c r="E520" s="1107" t="s">
        <v>1210</v>
      </c>
      <c r="H520">
        <v>1</v>
      </c>
      <c r="I520" t="s">
        <v>1046</v>
      </c>
    </row>
    <row r="521" spans="1:9" ht="13.5" thickBot="1" x14ac:dyDescent="0.25">
      <c r="A521" s="1111"/>
      <c r="B521" s="1109" t="s">
        <v>1866</v>
      </c>
      <c r="C521" s="1110" t="s">
        <v>1051</v>
      </c>
      <c r="D521" s="1106" t="s">
        <v>1046</v>
      </c>
      <c r="E521" s="1107" t="s">
        <v>1210</v>
      </c>
      <c r="H521">
        <v>1</v>
      </c>
      <c r="I521" t="s">
        <v>1046</v>
      </c>
    </row>
    <row r="522" spans="1:9" ht="13.5" thickBot="1" x14ac:dyDescent="0.25">
      <c r="A522" s="1108">
        <v>252.07</v>
      </c>
      <c r="B522" s="1109" t="s">
        <v>1867</v>
      </c>
      <c r="C522" s="1110" t="s">
        <v>1868</v>
      </c>
      <c r="D522" s="1106" t="s">
        <v>1046</v>
      </c>
      <c r="E522" s="1107" t="s">
        <v>1210</v>
      </c>
      <c r="H522">
        <v>1</v>
      </c>
      <c r="I522" t="s">
        <v>1046</v>
      </c>
    </row>
    <row r="523" spans="1:9" ht="13.5" thickBot="1" x14ac:dyDescent="0.25">
      <c r="A523" s="1111"/>
      <c r="B523" s="1109" t="s">
        <v>1869</v>
      </c>
      <c r="C523" s="1110" t="s">
        <v>1051</v>
      </c>
      <c r="D523" s="1106" t="s">
        <v>1046</v>
      </c>
      <c r="E523" s="1107" t="s">
        <v>1210</v>
      </c>
      <c r="H523">
        <v>1</v>
      </c>
      <c r="I523" t="s">
        <v>1046</v>
      </c>
    </row>
    <row r="524" spans="1:9" ht="13.5" thickBot="1" x14ac:dyDescent="0.25">
      <c r="A524" s="1108">
        <v>252.08</v>
      </c>
      <c r="B524" s="1109" t="s">
        <v>1870</v>
      </c>
      <c r="C524" s="1110" t="s">
        <v>1871</v>
      </c>
      <c r="D524" s="1106" t="s">
        <v>1046</v>
      </c>
      <c r="E524" s="1107" t="s">
        <v>1210</v>
      </c>
      <c r="H524">
        <v>1</v>
      </c>
      <c r="I524" t="s">
        <v>1046</v>
      </c>
    </row>
    <row r="525" spans="1:9" ht="13.5" thickBot="1" x14ac:dyDescent="0.25">
      <c r="A525" s="1111"/>
      <c r="B525" s="1109" t="s">
        <v>1872</v>
      </c>
      <c r="C525" s="1110" t="s">
        <v>1051</v>
      </c>
      <c r="D525" s="1106" t="s">
        <v>1046</v>
      </c>
      <c r="E525" s="1107" t="s">
        <v>1210</v>
      </c>
      <c r="H525">
        <v>1</v>
      </c>
      <c r="I525" t="s">
        <v>1046</v>
      </c>
    </row>
    <row r="526" spans="1:9" ht="13.5" thickBot="1" x14ac:dyDescent="0.25">
      <c r="A526" s="1108">
        <v>252.09</v>
      </c>
      <c r="B526" s="1109" t="s">
        <v>1873</v>
      </c>
      <c r="C526" s="1110" t="s">
        <v>1874</v>
      </c>
      <c r="D526" s="1106" t="s">
        <v>1046</v>
      </c>
      <c r="E526" s="1107" t="s">
        <v>1210</v>
      </c>
      <c r="H526">
        <v>1</v>
      </c>
      <c r="I526" t="s">
        <v>1046</v>
      </c>
    </row>
    <row r="527" spans="1:9" ht="13.5" thickBot="1" x14ac:dyDescent="0.25">
      <c r="A527" s="1111"/>
      <c r="B527" s="1109" t="s">
        <v>1875</v>
      </c>
      <c r="C527" s="1110" t="s">
        <v>1051</v>
      </c>
      <c r="D527" s="1106" t="s">
        <v>1046</v>
      </c>
      <c r="E527" s="1107" t="s">
        <v>1210</v>
      </c>
      <c r="H527">
        <v>1</v>
      </c>
      <c r="I527" t="s">
        <v>1046</v>
      </c>
    </row>
    <row r="528" spans="1:9" ht="13.5" thickBot="1" x14ac:dyDescent="0.25">
      <c r="A528" s="1108">
        <v>252.1</v>
      </c>
      <c r="B528" s="1131" t="s">
        <v>1876</v>
      </c>
      <c r="C528" s="1132" t="s">
        <v>1877</v>
      </c>
      <c r="D528" s="1106" t="s">
        <v>1046</v>
      </c>
      <c r="E528" s="1107" t="s">
        <v>1210</v>
      </c>
      <c r="H528">
        <v>1</v>
      </c>
      <c r="I528" t="s">
        <v>1046</v>
      </c>
    </row>
    <row r="529" spans="1:9" ht="13.5" thickBot="1" x14ac:dyDescent="0.25">
      <c r="A529" s="1111"/>
      <c r="B529" s="1131" t="s">
        <v>1878</v>
      </c>
      <c r="C529" s="1132" t="s">
        <v>1051</v>
      </c>
      <c r="D529" s="1106" t="s">
        <v>1046</v>
      </c>
      <c r="E529" s="1107" t="s">
        <v>1210</v>
      </c>
      <c r="H529">
        <v>1</v>
      </c>
      <c r="I529" t="s">
        <v>1046</v>
      </c>
    </row>
    <row r="530" spans="1:9" ht="13.5" thickBot="1" x14ac:dyDescent="0.25">
      <c r="A530" s="1108">
        <v>252.11</v>
      </c>
      <c r="B530" s="1109" t="s">
        <v>1879</v>
      </c>
      <c r="C530" s="1110" t="s">
        <v>1880</v>
      </c>
      <c r="D530" s="1106" t="s">
        <v>1046</v>
      </c>
      <c r="E530" s="1107" t="s">
        <v>1210</v>
      </c>
      <c r="H530">
        <v>1</v>
      </c>
      <c r="I530" t="s">
        <v>1046</v>
      </c>
    </row>
    <row r="531" spans="1:9" ht="13.5" thickBot="1" x14ac:dyDescent="0.25">
      <c r="A531" s="1111"/>
      <c r="B531" s="1109" t="s">
        <v>1881</v>
      </c>
      <c r="C531" s="1110" t="s">
        <v>1051</v>
      </c>
      <c r="D531" s="1106" t="s">
        <v>1046</v>
      </c>
      <c r="E531" s="1107" t="s">
        <v>1210</v>
      </c>
      <c r="H531">
        <v>1</v>
      </c>
      <c r="I531" t="s">
        <v>1046</v>
      </c>
    </row>
    <row r="532" spans="1:9" ht="13.5" thickBot="1" x14ac:dyDescent="0.25">
      <c r="A532" s="1108">
        <v>252.12</v>
      </c>
      <c r="B532" s="1109" t="s">
        <v>1882</v>
      </c>
      <c r="C532" s="1110" t="s">
        <v>1883</v>
      </c>
      <c r="D532" s="1106" t="s">
        <v>1046</v>
      </c>
      <c r="E532" s="1107" t="s">
        <v>1210</v>
      </c>
      <c r="H532">
        <v>1</v>
      </c>
      <c r="I532" t="s">
        <v>1046</v>
      </c>
    </row>
    <row r="533" spans="1:9" ht="13.5" thickBot="1" x14ac:dyDescent="0.25">
      <c r="A533" s="1111"/>
      <c r="B533" s="1109" t="s">
        <v>1884</v>
      </c>
      <c r="C533" s="1110" t="s">
        <v>1051</v>
      </c>
      <c r="D533" s="1106" t="s">
        <v>1046</v>
      </c>
      <c r="E533" s="1107" t="s">
        <v>1210</v>
      </c>
      <c r="H533">
        <v>1</v>
      </c>
      <c r="I533" t="s">
        <v>1046</v>
      </c>
    </row>
    <row r="534" spans="1:9" ht="13.5" thickBot="1" x14ac:dyDescent="0.25">
      <c r="A534" s="1108">
        <v>252.13</v>
      </c>
      <c r="B534" s="1109" t="s">
        <v>1885</v>
      </c>
      <c r="C534" s="1110" t="s">
        <v>1886</v>
      </c>
      <c r="D534" s="1106" t="s">
        <v>1046</v>
      </c>
      <c r="E534" s="1107" t="s">
        <v>1210</v>
      </c>
      <c r="H534">
        <v>1</v>
      </c>
      <c r="I534" t="s">
        <v>1046</v>
      </c>
    </row>
    <row r="535" spans="1:9" ht="13.5" thickBot="1" x14ac:dyDescent="0.25">
      <c r="A535" s="1111"/>
      <c r="B535" s="1109" t="s">
        <v>1887</v>
      </c>
      <c r="C535" s="1110" t="s">
        <v>1051</v>
      </c>
      <c r="D535" s="1106" t="s">
        <v>1046</v>
      </c>
      <c r="E535" s="1107" t="s">
        <v>1210</v>
      </c>
      <c r="H535">
        <v>1</v>
      </c>
      <c r="I535" t="s">
        <v>1046</v>
      </c>
    </row>
    <row r="536" spans="1:9" ht="13.5" thickBot="1" x14ac:dyDescent="0.25">
      <c r="A536" s="1108">
        <v>252.14</v>
      </c>
      <c r="B536" s="1109" t="s">
        <v>1888</v>
      </c>
      <c r="C536" s="1110" t="s">
        <v>1889</v>
      </c>
      <c r="D536" s="1106" t="s">
        <v>1046</v>
      </c>
      <c r="E536" s="1107" t="s">
        <v>1210</v>
      </c>
      <c r="H536">
        <v>1</v>
      </c>
      <c r="I536" t="s">
        <v>1046</v>
      </c>
    </row>
    <row r="537" spans="1:9" ht="13.5" thickBot="1" x14ac:dyDescent="0.25">
      <c r="A537" s="1111"/>
      <c r="B537" s="1109" t="s">
        <v>1890</v>
      </c>
      <c r="C537" s="1110" t="s">
        <v>1051</v>
      </c>
      <c r="D537" s="1106" t="s">
        <v>1046</v>
      </c>
      <c r="E537" s="1107" t="s">
        <v>1210</v>
      </c>
      <c r="H537">
        <v>1</v>
      </c>
      <c r="I537" t="s">
        <v>1046</v>
      </c>
    </row>
    <row r="538" spans="1:9" ht="13.5" thickBot="1" x14ac:dyDescent="0.25">
      <c r="A538" s="1108">
        <v>252.15</v>
      </c>
      <c r="B538" s="1109" t="s">
        <v>1891</v>
      </c>
      <c r="C538" s="1110" t="s">
        <v>1892</v>
      </c>
      <c r="D538" s="1106" t="s">
        <v>1046</v>
      </c>
      <c r="E538" s="1107" t="s">
        <v>1210</v>
      </c>
      <c r="H538">
        <v>1</v>
      </c>
      <c r="I538" t="s">
        <v>1046</v>
      </c>
    </row>
    <row r="539" spans="1:9" ht="13.5" thickBot="1" x14ac:dyDescent="0.25">
      <c r="A539" s="1111"/>
      <c r="B539" s="1109" t="s">
        <v>1893</v>
      </c>
      <c r="C539" s="1110" t="s">
        <v>1051</v>
      </c>
      <c r="D539" s="1106" t="s">
        <v>1046</v>
      </c>
      <c r="E539" s="1107" t="s">
        <v>1210</v>
      </c>
      <c r="H539">
        <v>1</v>
      </c>
      <c r="I539" t="s">
        <v>1046</v>
      </c>
    </row>
    <row r="540" spans="1:9" ht="13.5" thickBot="1" x14ac:dyDescent="0.25">
      <c r="A540" s="1108">
        <v>252.16</v>
      </c>
      <c r="B540" s="1109" t="s">
        <v>1894</v>
      </c>
      <c r="C540" s="1110" t="s">
        <v>1895</v>
      </c>
      <c r="D540" s="1106" t="s">
        <v>1046</v>
      </c>
      <c r="E540" s="1107" t="s">
        <v>1210</v>
      </c>
      <c r="H540">
        <v>1</v>
      </c>
      <c r="I540" t="s">
        <v>1046</v>
      </c>
    </row>
    <row r="541" spans="1:9" ht="13.5" thickBot="1" x14ac:dyDescent="0.25">
      <c r="A541" s="1111"/>
      <c r="B541" s="1109" t="s">
        <v>1896</v>
      </c>
      <c r="C541" s="1110" t="s">
        <v>1051</v>
      </c>
      <c r="D541" s="1106" t="s">
        <v>1046</v>
      </c>
      <c r="E541" s="1107" t="s">
        <v>1210</v>
      </c>
      <c r="H541">
        <v>1</v>
      </c>
      <c r="I541" t="s">
        <v>1046</v>
      </c>
    </row>
    <row r="542" spans="1:9" ht="13.5" thickBot="1" x14ac:dyDescent="0.25">
      <c r="A542" s="1108">
        <v>252.17</v>
      </c>
      <c r="B542" s="1109" t="s">
        <v>1897</v>
      </c>
      <c r="C542" s="1110" t="s">
        <v>1898</v>
      </c>
      <c r="D542" s="1106" t="s">
        <v>1046</v>
      </c>
      <c r="E542" s="1107" t="s">
        <v>1210</v>
      </c>
      <c r="H542">
        <v>1</v>
      </c>
      <c r="I542" t="s">
        <v>1046</v>
      </c>
    </row>
    <row r="543" spans="1:9" x14ac:dyDescent="0.2">
      <c r="A543" s="1119"/>
      <c r="B543" s="1120" t="s">
        <v>1899</v>
      </c>
      <c r="C543" s="1121" t="s">
        <v>1051</v>
      </c>
      <c r="D543" s="1122" t="s">
        <v>1046</v>
      </c>
      <c r="E543" s="1123" t="s">
        <v>1210</v>
      </c>
      <c r="H543">
        <v>1</v>
      </c>
      <c r="I543" t="s">
        <v>1046</v>
      </c>
    </row>
    <row r="544" spans="1:9" x14ac:dyDescent="0.2">
      <c r="A544" s="1104" t="s">
        <v>1900</v>
      </c>
      <c r="B544" s="1104" t="s">
        <v>1901</v>
      </c>
      <c r="C544" s="1124" t="s">
        <v>1902</v>
      </c>
      <c r="D544" s="1106" t="s">
        <v>1046</v>
      </c>
      <c r="E544" s="1139" t="s">
        <v>1210</v>
      </c>
      <c r="F544" s="1140"/>
      <c r="G544" s="1141"/>
      <c r="H544" s="1141">
        <v>1</v>
      </c>
      <c r="I544" s="1141" t="s">
        <v>1046</v>
      </c>
    </row>
    <row r="545" spans="1:9" ht="13.5" thickBot="1" x14ac:dyDescent="0.25">
      <c r="A545" s="1127">
        <v>259.01</v>
      </c>
      <c r="B545" s="1145" t="s">
        <v>1903</v>
      </c>
      <c r="C545" s="1132" t="s">
        <v>1904</v>
      </c>
      <c r="D545" s="1129" t="s">
        <v>1046</v>
      </c>
      <c r="E545" s="1130" t="s">
        <v>1210</v>
      </c>
      <c r="H545">
        <v>1</v>
      </c>
      <c r="I545" t="s">
        <v>1046</v>
      </c>
    </row>
    <row r="546" spans="1:9" ht="13.5" thickBot="1" x14ac:dyDescent="0.25">
      <c r="A546" s="1111"/>
      <c r="B546" s="1131" t="s">
        <v>1905</v>
      </c>
      <c r="C546" s="1132" t="s">
        <v>1051</v>
      </c>
      <c r="D546" s="1106" t="s">
        <v>1046</v>
      </c>
      <c r="E546" s="1107" t="s">
        <v>1210</v>
      </c>
      <c r="H546">
        <v>1</v>
      </c>
      <c r="I546" t="s">
        <v>1046</v>
      </c>
    </row>
    <row r="547" spans="1:9" ht="13.5" thickBot="1" x14ac:dyDescent="0.25">
      <c r="A547" s="1108">
        <v>259.02</v>
      </c>
      <c r="B547" s="1109" t="s">
        <v>1906</v>
      </c>
      <c r="C547" s="1110" t="s">
        <v>1907</v>
      </c>
      <c r="D547" s="1106" t="s">
        <v>1046</v>
      </c>
      <c r="E547" s="1107" t="s">
        <v>1210</v>
      </c>
      <c r="H547">
        <v>1</v>
      </c>
      <c r="I547" t="s">
        <v>1046</v>
      </c>
    </row>
    <row r="548" spans="1:9" ht="13.5" thickBot="1" x14ac:dyDescent="0.25">
      <c r="A548" s="1111"/>
      <c r="B548" s="1109" t="s">
        <v>1908</v>
      </c>
      <c r="C548" s="1110" t="s">
        <v>1051</v>
      </c>
      <c r="D548" s="1106" t="s">
        <v>1046</v>
      </c>
      <c r="E548" s="1107" t="s">
        <v>1210</v>
      </c>
      <c r="H548">
        <v>1</v>
      </c>
      <c r="I548" t="s">
        <v>1046</v>
      </c>
    </row>
    <row r="549" spans="1:9" ht="13.5" thickBot="1" x14ac:dyDescent="0.25">
      <c r="A549" s="1108">
        <v>259.02999999999997</v>
      </c>
      <c r="B549" s="1109" t="s">
        <v>1909</v>
      </c>
      <c r="C549" s="1110" t="s">
        <v>1910</v>
      </c>
      <c r="D549" s="1106" t="s">
        <v>1046</v>
      </c>
      <c r="E549" s="1107" t="s">
        <v>1210</v>
      </c>
      <c r="H549">
        <v>1</v>
      </c>
      <c r="I549" t="s">
        <v>1046</v>
      </c>
    </row>
    <row r="550" spans="1:9" ht="13.5" thickBot="1" x14ac:dyDescent="0.25">
      <c r="A550" s="1111"/>
      <c r="B550" s="1109" t="s">
        <v>1911</v>
      </c>
      <c r="C550" s="1110" t="s">
        <v>1051</v>
      </c>
      <c r="D550" s="1106" t="s">
        <v>1046</v>
      </c>
      <c r="E550" s="1107" t="s">
        <v>1210</v>
      </c>
      <c r="H550">
        <v>1</v>
      </c>
      <c r="I550" t="s">
        <v>1046</v>
      </c>
    </row>
    <row r="551" spans="1:9" ht="13.5" thickBot="1" x14ac:dyDescent="0.25">
      <c r="A551" s="1108">
        <v>257.01</v>
      </c>
      <c r="B551" s="1109" t="s">
        <v>1912</v>
      </c>
      <c r="C551" s="1110" t="s">
        <v>1913</v>
      </c>
      <c r="D551" s="1106" t="s">
        <v>1046</v>
      </c>
      <c r="E551" s="1107" t="s">
        <v>1210</v>
      </c>
      <c r="H551">
        <v>1</v>
      </c>
      <c r="I551" t="s">
        <v>1046</v>
      </c>
    </row>
    <row r="552" spans="1:9" x14ac:dyDescent="0.2">
      <c r="A552" s="1119"/>
      <c r="B552" s="1120" t="s">
        <v>1914</v>
      </c>
      <c r="C552" s="1121" t="s">
        <v>1051</v>
      </c>
      <c r="D552" s="1122" t="s">
        <v>1046</v>
      </c>
      <c r="E552" s="1123" t="s">
        <v>1210</v>
      </c>
      <c r="H552">
        <v>1</v>
      </c>
      <c r="I552" t="s">
        <v>1046</v>
      </c>
    </row>
    <row r="553" spans="1:9" x14ac:dyDescent="0.2">
      <c r="A553" s="1104" t="s">
        <v>1915</v>
      </c>
      <c r="B553" s="1104" t="s">
        <v>1916</v>
      </c>
      <c r="C553" s="1124" t="s">
        <v>1917</v>
      </c>
      <c r="D553" s="1106" t="s">
        <v>1046</v>
      </c>
      <c r="E553" s="1139" t="s">
        <v>1210</v>
      </c>
      <c r="F553" s="1140"/>
      <c r="G553" s="1141"/>
      <c r="H553" s="1141">
        <v>1</v>
      </c>
      <c r="I553" s="1141" t="s">
        <v>1046</v>
      </c>
    </row>
    <row r="554" spans="1:9" ht="13.5" thickBot="1" x14ac:dyDescent="0.25">
      <c r="A554" s="1127">
        <v>260.01</v>
      </c>
      <c r="B554" s="1128" t="s">
        <v>1918</v>
      </c>
      <c r="C554" s="1110" t="s">
        <v>1917</v>
      </c>
      <c r="D554" s="1129" t="s">
        <v>1046</v>
      </c>
      <c r="E554" s="1130" t="s">
        <v>1210</v>
      </c>
      <c r="H554">
        <v>1</v>
      </c>
      <c r="I554" t="s">
        <v>1046</v>
      </c>
    </row>
    <row r="555" spans="1:9" x14ac:dyDescent="0.2">
      <c r="A555" s="1119"/>
      <c r="B555" s="1120" t="s">
        <v>1919</v>
      </c>
      <c r="C555" s="1121" t="s">
        <v>1051</v>
      </c>
      <c r="D555" s="1122" t="s">
        <v>1046</v>
      </c>
      <c r="E555" s="1123" t="s">
        <v>1210</v>
      </c>
      <c r="H555">
        <v>1</v>
      </c>
      <c r="I555" t="s">
        <v>1046</v>
      </c>
    </row>
    <row r="556" spans="1:9" x14ac:dyDescent="0.2">
      <c r="A556" s="1104" t="s">
        <v>1920</v>
      </c>
      <c r="B556" s="1104" t="s">
        <v>1921</v>
      </c>
      <c r="C556" s="1124" t="s">
        <v>1922</v>
      </c>
      <c r="D556" s="1106" t="s">
        <v>1046</v>
      </c>
      <c r="E556" s="1139" t="s">
        <v>1210</v>
      </c>
      <c r="F556" s="1140"/>
      <c r="G556" s="1141"/>
      <c r="H556" s="1141">
        <v>1</v>
      </c>
      <c r="I556" s="1141" t="s">
        <v>1046</v>
      </c>
    </row>
    <row r="557" spans="1:9" ht="13.5" thickBot="1" x14ac:dyDescent="0.25">
      <c r="A557" s="1127">
        <v>301.01</v>
      </c>
      <c r="B557" s="1128" t="s">
        <v>1923</v>
      </c>
      <c r="C557" s="1110" t="s">
        <v>1924</v>
      </c>
      <c r="D557" s="1129" t="s">
        <v>1046</v>
      </c>
      <c r="E557" s="1130" t="s">
        <v>1210</v>
      </c>
      <c r="H557">
        <v>1</v>
      </c>
      <c r="I557" t="s">
        <v>1046</v>
      </c>
    </row>
    <row r="558" spans="1:9" ht="13.5" thickBot="1" x14ac:dyDescent="0.25">
      <c r="A558" s="1111"/>
      <c r="B558" s="1109" t="s">
        <v>1925</v>
      </c>
      <c r="C558" s="1110" t="s">
        <v>1051</v>
      </c>
      <c r="D558" s="1106" t="s">
        <v>1046</v>
      </c>
      <c r="E558" s="1107" t="s">
        <v>1210</v>
      </c>
      <c r="H558">
        <v>1</v>
      </c>
      <c r="I558" t="s">
        <v>1046</v>
      </c>
    </row>
    <row r="559" spans="1:9" ht="13.5" thickBot="1" x14ac:dyDescent="0.25">
      <c r="A559" s="1108">
        <v>301.02</v>
      </c>
      <c r="B559" s="1109" t="s">
        <v>1926</v>
      </c>
      <c r="C559" s="1110" t="s">
        <v>1927</v>
      </c>
      <c r="D559" s="1106" t="s">
        <v>1046</v>
      </c>
      <c r="E559" s="1107" t="s">
        <v>1210</v>
      </c>
      <c r="H559">
        <v>1</v>
      </c>
      <c r="I559" t="s">
        <v>1046</v>
      </c>
    </row>
    <row r="560" spans="1:9" ht="13.5" thickBot="1" x14ac:dyDescent="0.25">
      <c r="A560" s="1111"/>
      <c r="B560" s="1109" t="s">
        <v>1928</v>
      </c>
      <c r="C560" s="1110" t="s">
        <v>1051</v>
      </c>
      <c r="D560" s="1106" t="s">
        <v>1046</v>
      </c>
      <c r="E560" s="1107" t="s">
        <v>1210</v>
      </c>
      <c r="H560">
        <v>1</v>
      </c>
      <c r="I560" t="s">
        <v>1046</v>
      </c>
    </row>
    <row r="561" spans="1:9" ht="13.5" thickBot="1" x14ac:dyDescent="0.25">
      <c r="A561" s="1108">
        <v>301.02999999999997</v>
      </c>
      <c r="B561" s="1109" t="s">
        <v>1929</v>
      </c>
      <c r="C561" s="1110" t="s">
        <v>1930</v>
      </c>
      <c r="D561" s="1106" t="s">
        <v>1046</v>
      </c>
      <c r="E561" s="1107" t="s">
        <v>1210</v>
      </c>
      <c r="H561">
        <v>1</v>
      </c>
      <c r="I561" t="s">
        <v>1046</v>
      </c>
    </row>
    <row r="562" spans="1:9" ht="13.5" thickBot="1" x14ac:dyDescent="0.25">
      <c r="A562" s="1111"/>
      <c r="B562" s="1109" t="s">
        <v>1931</v>
      </c>
      <c r="C562" s="1110" t="s">
        <v>1051</v>
      </c>
      <c r="D562" s="1106" t="s">
        <v>1046</v>
      </c>
      <c r="E562" s="1107" t="s">
        <v>1210</v>
      </c>
      <c r="H562">
        <v>1</v>
      </c>
      <c r="I562" t="s">
        <v>1046</v>
      </c>
    </row>
    <row r="563" spans="1:9" ht="13.5" thickBot="1" x14ac:dyDescent="0.25">
      <c r="A563" s="1108">
        <v>301.04000000000002</v>
      </c>
      <c r="B563" s="1109" t="s">
        <v>1932</v>
      </c>
      <c r="C563" s="1110" t="s">
        <v>1933</v>
      </c>
      <c r="D563" s="1106" t="s">
        <v>1046</v>
      </c>
      <c r="E563" s="1107" t="s">
        <v>1210</v>
      </c>
      <c r="H563">
        <v>1</v>
      </c>
      <c r="I563" t="s">
        <v>1046</v>
      </c>
    </row>
    <row r="564" spans="1:9" ht="13.5" thickBot="1" x14ac:dyDescent="0.25">
      <c r="A564" s="1111"/>
      <c r="B564" s="1109" t="s">
        <v>1934</v>
      </c>
      <c r="C564" s="1110" t="s">
        <v>1051</v>
      </c>
      <c r="D564" s="1106" t="s">
        <v>1046</v>
      </c>
      <c r="E564" s="1107" t="s">
        <v>1210</v>
      </c>
      <c r="H564">
        <v>1</v>
      </c>
      <c r="I564" t="s">
        <v>1046</v>
      </c>
    </row>
    <row r="565" spans="1:9" ht="13.5" thickBot="1" x14ac:dyDescent="0.25">
      <c r="A565" s="1108">
        <v>301.05</v>
      </c>
      <c r="B565" s="1109" t="s">
        <v>1935</v>
      </c>
      <c r="C565" s="1135" t="s">
        <v>1936</v>
      </c>
      <c r="D565" s="1106" t="s">
        <v>1046</v>
      </c>
      <c r="E565" s="1107" t="s">
        <v>1210</v>
      </c>
      <c r="H565">
        <v>1</v>
      </c>
      <c r="I565" t="s">
        <v>1046</v>
      </c>
    </row>
    <row r="566" spans="1:9" x14ac:dyDescent="0.2">
      <c r="A566" s="1119"/>
      <c r="B566" s="1120" t="s">
        <v>1937</v>
      </c>
      <c r="C566" s="1121" t="s">
        <v>1051</v>
      </c>
      <c r="D566" s="1122" t="s">
        <v>1046</v>
      </c>
      <c r="E566" s="1123" t="s">
        <v>1210</v>
      </c>
      <c r="H566">
        <v>1</v>
      </c>
      <c r="I566" t="s">
        <v>1046</v>
      </c>
    </row>
    <row r="567" spans="1:9" x14ac:dyDescent="0.2">
      <c r="A567" s="1104" t="s">
        <v>1938</v>
      </c>
      <c r="B567" s="1104" t="s">
        <v>1939</v>
      </c>
      <c r="C567" s="1124" t="s">
        <v>1940</v>
      </c>
      <c r="D567" s="1106" t="s">
        <v>1046</v>
      </c>
      <c r="E567" s="1139" t="s">
        <v>1210</v>
      </c>
      <c r="F567" s="1140"/>
      <c r="G567" s="1141"/>
      <c r="H567" s="1141">
        <v>1</v>
      </c>
      <c r="I567" s="1141" t="s">
        <v>1046</v>
      </c>
    </row>
    <row r="568" spans="1:9" ht="13.5" thickBot="1" x14ac:dyDescent="0.25">
      <c r="A568" s="1127">
        <v>302.01</v>
      </c>
      <c r="B568" s="1128" t="s">
        <v>1941</v>
      </c>
      <c r="C568" s="1110" t="s">
        <v>1940</v>
      </c>
      <c r="D568" s="1129" t="s">
        <v>1046</v>
      </c>
      <c r="E568" s="1130" t="s">
        <v>1210</v>
      </c>
      <c r="H568">
        <v>1</v>
      </c>
      <c r="I568" t="s">
        <v>1046</v>
      </c>
    </row>
    <row r="569" spans="1:9" ht="13.5" thickBot="1" x14ac:dyDescent="0.25">
      <c r="A569" s="1111"/>
      <c r="B569" s="1109" t="s">
        <v>1942</v>
      </c>
      <c r="C569" s="1110" t="s">
        <v>1051</v>
      </c>
      <c r="D569" s="1106" t="s">
        <v>1046</v>
      </c>
      <c r="E569" s="1107" t="s">
        <v>1210</v>
      </c>
      <c r="H569">
        <v>1</v>
      </c>
      <c r="I569" t="s">
        <v>1046</v>
      </c>
    </row>
    <row r="570" spans="1:9" ht="13.5" thickBot="1" x14ac:dyDescent="0.25">
      <c r="A570" s="1108">
        <v>302.02</v>
      </c>
      <c r="B570" s="1109" t="s">
        <v>1943</v>
      </c>
      <c r="C570" s="1110" t="s">
        <v>1944</v>
      </c>
      <c r="D570" s="1106" t="s">
        <v>1046</v>
      </c>
      <c r="E570" s="1107" t="s">
        <v>1210</v>
      </c>
      <c r="H570">
        <v>1</v>
      </c>
      <c r="I570" t="s">
        <v>1046</v>
      </c>
    </row>
    <row r="571" spans="1:9" ht="13.5" thickBot="1" x14ac:dyDescent="0.25">
      <c r="A571" s="1111"/>
      <c r="B571" s="1109" t="s">
        <v>1945</v>
      </c>
      <c r="C571" s="1110" t="s">
        <v>1051</v>
      </c>
      <c r="D571" s="1106" t="s">
        <v>1046</v>
      </c>
      <c r="E571" s="1107" t="s">
        <v>1210</v>
      </c>
      <c r="H571">
        <v>1</v>
      </c>
      <c r="I571" t="s">
        <v>1046</v>
      </c>
    </row>
    <row r="572" spans="1:9" ht="13.5" thickBot="1" x14ac:dyDescent="0.25">
      <c r="A572" s="1108">
        <v>302.02999999999997</v>
      </c>
      <c r="B572" s="1109" t="s">
        <v>1946</v>
      </c>
      <c r="C572" s="1110" t="s">
        <v>1947</v>
      </c>
      <c r="D572" s="1106" t="s">
        <v>1046</v>
      </c>
      <c r="E572" s="1107" t="s">
        <v>1210</v>
      </c>
      <c r="H572">
        <v>1</v>
      </c>
      <c r="I572" t="s">
        <v>1046</v>
      </c>
    </row>
    <row r="573" spans="1:9" x14ac:dyDescent="0.2">
      <c r="A573" s="1119"/>
      <c r="B573" s="1120" t="s">
        <v>1948</v>
      </c>
      <c r="C573" s="1121" t="s">
        <v>1051</v>
      </c>
      <c r="D573" s="1122" t="s">
        <v>1046</v>
      </c>
      <c r="E573" s="1123" t="s">
        <v>1210</v>
      </c>
      <c r="H573">
        <v>1</v>
      </c>
      <c r="I573" t="s">
        <v>1046</v>
      </c>
    </row>
    <row r="574" spans="1:9" x14ac:dyDescent="0.2">
      <c r="A574" s="1104" t="s">
        <v>1949</v>
      </c>
      <c r="B574" s="1104" t="s">
        <v>1950</v>
      </c>
      <c r="C574" s="1124" t="s">
        <v>1951</v>
      </c>
      <c r="D574" s="1106" t="s">
        <v>1046</v>
      </c>
      <c r="E574" s="1139" t="s">
        <v>1210</v>
      </c>
      <c r="F574" s="1140"/>
      <c r="G574" s="1141"/>
      <c r="H574" s="1141">
        <v>1</v>
      </c>
      <c r="I574" s="1141" t="s">
        <v>1046</v>
      </c>
    </row>
    <row r="575" spans="1:9" ht="13.5" thickBot="1" x14ac:dyDescent="0.25">
      <c r="A575" s="1127">
        <v>303.01</v>
      </c>
      <c r="B575" s="1128" t="s">
        <v>1952</v>
      </c>
      <c r="C575" s="1110" t="s">
        <v>1951</v>
      </c>
      <c r="D575" s="1129" t="s">
        <v>1046</v>
      </c>
      <c r="E575" s="1130" t="s">
        <v>1210</v>
      </c>
      <c r="H575">
        <v>1</v>
      </c>
      <c r="I575" t="s">
        <v>1046</v>
      </c>
    </row>
    <row r="576" spans="1:9" x14ac:dyDescent="0.2">
      <c r="A576" s="1119"/>
      <c r="B576" s="1120" t="s">
        <v>1953</v>
      </c>
      <c r="C576" s="1121" t="s">
        <v>1051</v>
      </c>
      <c r="D576" s="1122" t="s">
        <v>1046</v>
      </c>
      <c r="E576" s="1123" t="s">
        <v>1210</v>
      </c>
      <c r="H576">
        <v>1</v>
      </c>
      <c r="I576" t="s">
        <v>1046</v>
      </c>
    </row>
    <row r="577" spans="1:9" x14ac:dyDescent="0.2">
      <c r="A577" s="1104" t="s">
        <v>1954</v>
      </c>
      <c r="B577" s="1104" t="s">
        <v>1955</v>
      </c>
      <c r="C577" s="1124" t="s">
        <v>1956</v>
      </c>
      <c r="D577" s="1106" t="s">
        <v>1046</v>
      </c>
      <c r="E577" s="1139" t="s">
        <v>1210</v>
      </c>
      <c r="F577" s="1140"/>
      <c r="G577" s="1141"/>
      <c r="H577" s="1141">
        <v>1</v>
      </c>
      <c r="I577" s="1141" t="s">
        <v>1046</v>
      </c>
    </row>
    <row r="578" spans="1:9" ht="13.5" thickBot="1" x14ac:dyDescent="0.25">
      <c r="A578" s="1127">
        <v>304.01</v>
      </c>
      <c r="B578" s="1128" t="s">
        <v>1957</v>
      </c>
      <c r="C578" s="1110" t="s">
        <v>1958</v>
      </c>
      <c r="D578" s="1129" t="s">
        <v>1046</v>
      </c>
      <c r="E578" s="1130" t="s">
        <v>1210</v>
      </c>
      <c r="H578">
        <v>1</v>
      </c>
      <c r="I578" t="s">
        <v>1046</v>
      </c>
    </row>
    <row r="579" spans="1:9" ht="13.5" thickBot="1" x14ac:dyDescent="0.25">
      <c r="A579" s="1111"/>
      <c r="B579" s="1109" t="s">
        <v>1959</v>
      </c>
      <c r="C579" s="1110" t="s">
        <v>1051</v>
      </c>
      <c r="D579" s="1106" t="s">
        <v>1046</v>
      </c>
      <c r="E579" s="1107" t="s">
        <v>1210</v>
      </c>
      <c r="H579">
        <v>1</v>
      </c>
      <c r="I579" t="s">
        <v>1046</v>
      </c>
    </row>
    <row r="580" spans="1:9" ht="13.5" thickBot="1" x14ac:dyDescent="0.25">
      <c r="A580" s="1108">
        <v>304.02</v>
      </c>
      <c r="B580" s="1109" t="s">
        <v>1960</v>
      </c>
      <c r="C580" s="1110" t="s">
        <v>1961</v>
      </c>
      <c r="D580" s="1106" t="s">
        <v>1046</v>
      </c>
      <c r="E580" s="1107" t="s">
        <v>1047</v>
      </c>
      <c r="H580">
        <v>1</v>
      </c>
      <c r="I580" t="s">
        <v>1046</v>
      </c>
    </row>
    <row r="581" spans="1:9" ht="13.5" thickBot="1" x14ac:dyDescent="0.25">
      <c r="A581" s="1111"/>
      <c r="B581" s="1109" t="s">
        <v>1962</v>
      </c>
      <c r="C581" s="1110" t="s">
        <v>1051</v>
      </c>
      <c r="D581" s="1106" t="s">
        <v>1046</v>
      </c>
      <c r="E581" s="1107" t="s">
        <v>1047</v>
      </c>
      <c r="H581">
        <v>1</v>
      </c>
      <c r="I581" t="s">
        <v>1046</v>
      </c>
    </row>
    <row r="582" spans="1:9" ht="23.25" thickBot="1" x14ac:dyDescent="0.25">
      <c r="A582" s="1108">
        <v>304.02999999999997</v>
      </c>
      <c r="B582" s="1109" t="s">
        <v>1963</v>
      </c>
      <c r="C582" s="1110" t="s">
        <v>1964</v>
      </c>
      <c r="D582" s="1106" t="s">
        <v>1046</v>
      </c>
      <c r="E582" s="1107" t="s">
        <v>1210</v>
      </c>
      <c r="H582">
        <v>1</v>
      </c>
      <c r="I582" t="s">
        <v>1046</v>
      </c>
    </row>
    <row r="583" spans="1:9" ht="13.5" thickBot="1" x14ac:dyDescent="0.25">
      <c r="A583" s="1111"/>
      <c r="B583" s="1109" t="s">
        <v>1965</v>
      </c>
      <c r="C583" s="1110" t="s">
        <v>1051</v>
      </c>
      <c r="D583" s="1106" t="s">
        <v>1046</v>
      </c>
      <c r="E583" s="1107" t="s">
        <v>1210</v>
      </c>
      <c r="H583">
        <v>1</v>
      </c>
      <c r="I583" t="s">
        <v>1046</v>
      </c>
    </row>
    <row r="584" spans="1:9" ht="23.25" thickBot="1" x14ac:dyDescent="0.25">
      <c r="A584" s="1108">
        <v>304.04000000000002</v>
      </c>
      <c r="B584" s="1109" t="s">
        <v>1966</v>
      </c>
      <c r="C584" s="1110" t="s">
        <v>1967</v>
      </c>
      <c r="D584" s="1106" t="s">
        <v>1046</v>
      </c>
      <c r="E584" s="1107" t="s">
        <v>1047</v>
      </c>
      <c r="H584">
        <v>1</v>
      </c>
      <c r="I584" t="s">
        <v>1046</v>
      </c>
    </row>
    <row r="585" spans="1:9" x14ac:dyDescent="0.2">
      <c r="A585" s="1119"/>
      <c r="B585" s="1120" t="s">
        <v>1968</v>
      </c>
      <c r="C585" s="1121" t="s">
        <v>1051</v>
      </c>
      <c r="D585" s="1122" t="s">
        <v>1046</v>
      </c>
      <c r="E585" s="1123" t="s">
        <v>1047</v>
      </c>
      <c r="H585">
        <v>1</v>
      </c>
      <c r="I585" t="s">
        <v>1046</v>
      </c>
    </row>
    <row r="586" spans="1:9" x14ac:dyDescent="0.2">
      <c r="A586" s="1104" t="s">
        <v>1969</v>
      </c>
      <c r="B586" s="1104" t="s">
        <v>1970</v>
      </c>
      <c r="C586" s="1124" t="s">
        <v>1971</v>
      </c>
      <c r="D586" s="1106" t="s">
        <v>1046</v>
      </c>
      <c r="E586" s="1139" t="s">
        <v>1210</v>
      </c>
      <c r="F586" s="1140"/>
      <c r="G586" s="1141"/>
      <c r="H586" s="1141">
        <v>1</v>
      </c>
      <c r="I586" s="1141" t="s">
        <v>1046</v>
      </c>
    </row>
    <row r="587" spans="1:9" ht="13.5" thickBot="1" x14ac:dyDescent="0.25">
      <c r="A587" s="1127">
        <v>305.01</v>
      </c>
      <c r="B587" s="1128" t="s">
        <v>1972</v>
      </c>
      <c r="C587" s="1110" t="s">
        <v>1973</v>
      </c>
      <c r="D587" s="1129" t="s">
        <v>1046</v>
      </c>
      <c r="E587" s="1130" t="s">
        <v>1210</v>
      </c>
      <c r="H587">
        <v>1</v>
      </c>
      <c r="I587" t="s">
        <v>1046</v>
      </c>
    </row>
    <row r="588" spans="1:9" ht="13.5" thickBot="1" x14ac:dyDescent="0.25">
      <c r="A588" s="1111"/>
      <c r="B588" s="1109" t="s">
        <v>1974</v>
      </c>
      <c r="C588" s="1110" t="s">
        <v>1051</v>
      </c>
      <c r="D588" s="1106" t="s">
        <v>1046</v>
      </c>
      <c r="E588" s="1107" t="s">
        <v>1210</v>
      </c>
      <c r="H588">
        <v>1</v>
      </c>
      <c r="I588" t="s">
        <v>1046</v>
      </c>
    </row>
    <row r="589" spans="1:9" ht="13.5" thickBot="1" x14ac:dyDescent="0.25">
      <c r="A589" s="1108">
        <v>305.02</v>
      </c>
      <c r="B589" s="1109" t="s">
        <v>1975</v>
      </c>
      <c r="C589" s="1110" t="s">
        <v>1976</v>
      </c>
      <c r="D589" s="1106" t="s">
        <v>1046</v>
      </c>
      <c r="E589" s="1107" t="s">
        <v>1047</v>
      </c>
      <c r="H589">
        <v>1</v>
      </c>
      <c r="I589" t="s">
        <v>1046</v>
      </c>
    </row>
    <row r="590" spans="1:9" ht="13.5" thickBot="1" x14ac:dyDescent="0.25">
      <c r="A590" s="1111"/>
      <c r="B590" s="1109" t="s">
        <v>1977</v>
      </c>
      <c r="C590" s="1110" t="s">
        <v>1051</v>
      </c>
      <c r="D590" s="1106" t="s">
        <v>1046</v>
      </c>
      <c r="E590" s="1107" t="s">
        <v>1047</v>
      </c>
      <c r="H590">
        <v>1</v>
      </c>
      <c r="I590" t="s">
        <v>1046</v>
      </c>
    </row>
    <row r="591" spans="1:9" ht="13.5" thickBot="1" x14ac:dyDescent="0.25">
      <c r="A591" s="1108">
        <v>305.02999999999997</v>
      </c>
      <c r="B591" s="1109" t="s">
        <v>1978</v>
      </c>
      <c r="C591" s="1110" t="s">
        <v>1979</v>
      </c>
      <c r="D591" s="1106" t="s">
        <v>1046</v>
      </c>
      <c r="E591" s="1107" t="s">
        <v>1210</v>
      </c>
      <c r="H591">
        <v>1</v>
      </c>
      <c r="I591" t="s">
        <v>1046</v>
      </c>
    </row>
    <row r="592" spans="1:9" x14ac:dyDescent="0.2">
      <c r="A592" s="1119"/>
      <c r="B592" s="1120" t="s">
        <v>1980</v>
      </c>
      <c r="C592" s="1121" t="s">
        <v>1051</v>
      </c>
      <c r="D592" s="1122" t="s">
        <v>1046</v>
      </c>
      <c r="E592" s="1123" t="s">
        <v>1210</v>
      </c>
      <c r="H592">
        <v>1</v>
      </c>
      <c r="I592" t="s">
        <v>1046</v>
      </c>
    </row>
    <row r="593" spans="1:9" x14ac:dyDescent="0.2">
      <c r="A593" s="1104" t="s">
        <v>1981</v>
      </c>
      <c r="B593" s="1104" t="s">
        <v>1982</v>
      </c>
      <c r="C593" s="1124" t="s">
        <v>1983</v>
      </c>
      <c r="D593" s="1106" t="s">
        <v>1046</v>
      </c>
      <c r="E593" s="1139" t="s">
        <v>1210</v>
      </c>
      <c r="F593" s="1140"/>
      <c r="G593" s="1141"/>
      <c r="H593" s="1141">
        <v>1</v>
      </c>
      <c r="I593" s="1141" t="s">
        <v>1046</v>
      </c>
    </row>
    <row r="594" spans="1:9" ht="13.5" thickBot="1" x14ac:dyDescent="0.25">
      <c r="A594" s="1127">
        <v>306.01</v>
      </c>
      <c r="B594" s="1128" t="s">
        <v>1984</v>
      </c>
      <c r="C594" s="1110" t="s">
        <v>1983</v>
      </c>
      <c r="D594" s="1129" t="s">
        <v>1046</v>
      </c>
      <c r="E594" s="1130" t="s">
        <v>1210</v>
      </c>
      <c r="H594">
        <v>1</v>
      </c>
      <c r="I594" t="s">
        <v>1046</v>
      </c>
    </row>
    <row r="595" spans="1:9" x14ac:dyDescent="0.2">
      <c r="A595" s="1119"/>
      <c r="B595" s="1120" t="s">
        <v>1985</v>
      </c>
      <c r="C595" s="1121" t="s">
        <v>1051</v>
      </c>
      <c r="D595" s="1122" t="s">
        <v>1046</v>
      </c>
      <c r="E595" s="1123" t="s">
        <v>1210</v>
      </c>
      <c r="H595">
        <v>1</v>
      </c>
      <c r="I595" t="s">
        <v>1046</v>
      </c>
    </row>
    <row r="596" spans="1:9" s="1146" customFormat="1" x14ac:dyDescent="0.2">
      <c r="A596" s="1104" t="s">
        <v>1986</v>
      </c>
      <c r="B596" s="1104" t="s">
        <v>1987</v>
      </c>
      <c r="C596" s="1124" t="s">
        <v>1988</v>
      </c>
      <c r="D596" s="1106" t="s">
        <v>1989</v>
      </c>
      <c r="E596" s="1139" t="s">
        <v>1210</v>
      </c>
      <c r="F596" s="1140"/>
      <c r="G596" s="1141"/>
      <c r="H596" s="1141">
        <v>1</v>
      </c>
      <c r="I596" s="1141" t="s">
        <v>1046</v>
      </c>
    </row>
    <row r="597" spans="1:9" ht="13.5" thickBot="1" x14ac:dyDescent="0.25">
      <c r="A597" s="1147" t="s">
        <v>1986</v>
      </c>
      <c r="B597" s="1145" t="s">
        <v>1990</v>
      </c>
      <c r="C597" s="1142" t="s">
        <v>1991</v>
      </c>
      <c r="D597" s="1129" t="s">
        <v>1989</v>
      </c>
      <c r="E597" s="1130" t="s">
        <v>1210</v>
      </c>
      <c r="H597">
        <v>1</v>
      </c>
      <c r="I597" t="s">
        <v>1046</v>
      </c>
    </row>
    <row r="598" spans="1:9" ht="13.5" thickBot="1" x14ac:dyDescent="0.25">
      <c r="A598" s="1108">
        <v>401.01</v>
      </c>
      <c r="B598" s="1131" t="s">
        <v>1992</v>
      </c>
      <c r="C598" s="1132" t="s">
        <v>1993</v>
      </c>
      <c r="D598" s="1106" t="s">
        <v>1989</v>
      </c>
      <c r="E598" s="1107" t="s">
        <v>1210</v>
      </c>
      <c r="H598">
        <v>1</v>
      </c>
      <c r="I598" t="s">
        <v>1046</v>
      </c>
    </row>
    <row r="599" spans="1:9" ht="23.25" thickBot="1" x14ac:dyDescent="0.25">
      <c r="A599" s="1108">
        <v>401.02</v>
      </c>
      <c r="B599" s="1131" t="s">
        <v>1994</v>
      </c>
      <c r="C599" s="1132" t="s">
        <v>1995</v>
      </c>
      <c r="D599" s="1106" t="s">
        <v>1989</v>
      </c>
      <c r="E599" s="1107" t="s">
        <v>1210</v>
      </c>
      <c r="H599">
        <v>1</v>
      </c>
      <c r="I599" t="s">
        <v>1046</v>
      </c>
    </row>
    <row r="600" spans="1:9" ht="13.5" thickBot="1" x14ac:dyDescent="0.25">
      <c r="A600" s="1108">
        <v>401.03</v>
      </c>
      <c r="B600" s="1131" t="s">
        <v>1996</v>
      </c>
      <c r="C600" s="1132" t="s">
        <v>1997</v>
      </c>
      <c r="D600" s="1106" t="s">
        <v>1989</v>
      </c>
      <c r="E600" s="1107" t="s">
        <v>1210</v>
      </c>
      <c r="H600">
        <v>1</v>
      </c>
      <c r="I600" t="s">
        <v>1046</v>
      </c>
    </row>
    <row r="601" spans="1:9" ht="13.5" thickBot="1" x14ac:dyDescent="0.25">
      <c r="A601" s="1108">
        <v>401.1</v>
      </c>
      <c r="B601" s="1131" t="s">
        <v>1998</v>
      </c>
      <c r="C601" s="1132" t="s">
        <v>1999</v>
      </c>
      <c r="D601" s="1106" t="s">
        <v>1989</v>
      </c>
      <c r="E601" s="1107" t="s">
        <v>1210</v>
      </c>
      <c r="H601">
        <v>1</v>
      </c>
      <c r="I601" t="s">
        <v>1046</v>
      </c>
    </row>
    <row r="602" spans="1:9" ht="13.5" thickBot="1" x14ac:dyDescent="0.25">
      <c r="A602" s="1108">
        <v>401.11</v>
      </c>
      <c r="B602" s="1131" t="s">
        <v>2000</v>
      </c>
      <c r="C602" s="1132" t="s">
        <v>2001</v>
      </c>
      <c r="D602" s="1106" t="s">
        <v>1989</v>
      </c>
      <c r="E602" s="1107" t="s">
        <v>1210</v>
      </c>
      <c r="H602">
        <v>1</v>
      </c>
      <c r="I602" t="s">
        <v>1046</v>
      </c>
    </row>
    <row r="603" spans="1:9" ht="13.5" thickBot="1" x14ac:dyDescent="0.25">
      <c r="A603" s="1108">
        <v>401.04</v>
      </c>
      <c r="B603" s="1131" t="s">
        <v>2002</v>
      </c>
      <c r="C603" s="1132" t="s">
        <v>2003</v>
      </c>
      <c r="D603" s="1106" t="s">
        <v>1989</v>
      </c>
      <c r="E603" s="1107" t="s">
        <v>1210</v>
      </c>
      <c r="H603">
        <v>1</v>
      </c>
      <c r="I603" t="s">
        <v>1046</v>
      </c>
    </row>
    <row r="604" spans="1:9" ht="13.5" thickBot="1" x14ac:dyDescent="0.25">
      <c r="A604" s="1108">
        <v>401.05</v>
      </c>
      <c r="B604" s="1131" t="s">
        <v>2004</v>
      </c>
      <c r="C604" s="1132" t="s">
        <v>2005</v>
      </c>
      <c r="D604" s="1106" t="s">
        <v>1989</v>
      </c>
      <c r="E604" s="1107" t="s">
        <v>1210</v>
      </c>
      <c r="H604">
        <v>1</v>
      </c>
      <c r="I604" t="s">
        <v>1046</v>
      </c>
    </row>
    <row r="605" spans="1:9" ht="13.5" thickBot="1" x14ac:dyDescent="0.25">
      <c r="A605" s="1108">
        <v>401.06</v>
      </c>
      <c r="B605" s="1131" t="s">
        <v>2006</v>
      </c>
      <c r="C605" s="1132" t="s">
        <v>2007</v>
      </c>
      <c r="D605" s="1106" t="s">
        <v>1989</v>
      </c>
      <c r="E605" s="1107" t="s">
        <v>1210</v>
      </c>
      <c r="H605">
        <v>1</v>
      </c>
      <c r="I605" t="s">
        <v>1046</v>
      </c>
    </row>
    <row r="606" spans="1:9" ht="13.5" thickBot="1" x14ac:dyDescent="0.25">
      <c r="A606" s="1108">
        <v>401.12</v>
      </c>
      <c r="B606" s="1131" t="s">
        <v>2008</v>
      </c>
      <c r="C606" s="1132" t="s">
        <v>2009</v>
      </c>
      <c r="D606" s="1106" t="s">
        <v>1989</v>
      </c>
      <c r="E606" s="1107" t="s">
        <v>1210</v>
      </c>
      <c r="H606">
        <v>1</v>
      </c>
      <c r="I606" t="s">
        <v>1046</v>
      </c>
    </row>
    <row r="607" spans="1:9" ht="13.5" thickBot="1" x14ac:dyDescent="0.25">
      <c r="A607" s="1108">
        <v>401.13</v>
      </c>
      <c r="B607" s="1131" t="s">
        <v>2010</v>
      </c>
      <c r="C607" s="1132" t="s">
        <v>2011</v>
      </c>
      <c r="D607" s="1106" t="s">
        <v>1989</v>
      </c>
      <c r="E607" s="1107" t="s">
        <v>1210</v>
      </c>
      <c r="H607">
        <v>1</v>
      </c>
      <c r="I607" t="s">
        <v>1046</v>
      </c>
    </row>
    <row r="608" spans="1:9" ht="13.5" thickBot="1" x14ac:dyDescent="0.25">
      <c r="A608" s="1108">
        <v>401.07</v>
      </c>
      <c r="B608" s="1131" t="s">
        <v>2012</v>
      </c>
      <c r="C608" s="1132" t="s">
        <v>2013</v>
      </c>
      <c r="D608" s="1106" t="s">
        <v>1989</v>
      </c>
      <c r="E608" s="1107" t="s">
        <v>1210</v>
      </c>
      <c r="H608">
        <v>1</v>
      </c>
      <c r="I608" t="s">
        <v>1046</v>
      </c>
    </row>
    <row r="609" spans="1:9" ht="13.5" thickBot="1" x14ac:dyDescent="0.25">
      <c r="A609" s="1108">
        <v>401.08</v>
      </c>
      <c r="B609" s="1131" t="s">
        <v>2014</v>
      </c>
      <c r="C609" s="1132" t="s">
        <v>2015</v>
      </c>
      <c r="D609" s="1106" t="s">
        <v>1989</v>
      </c>
      <c r="E609" s="1107" t="s">
        <v>1210</v>
      </c>
      <c r="H609">
        <v>1</v>
      </c>
      <c r="I609" t="s">
        <v>1046</v>
      </c>
    </row>
    <row r="610" spans="1:9" ht="13.5" thickBot="1" x14ac:dyDescent="0.25">
      <c r="A610" s="1108">
        <v>401.09</v>
      </c>
      <c r="B610" s="1131" t="s">
        <v>2016</v>
      </c>
      <c r="C610" s="1132" t="s">
        <v>2017</v>
      </c>
      <c r="D610" s="1106" t="s">
        <v>1989</v>
      </c>
      <c r="E610" s="1107" t="s">
        <v>1210</v>
      </c>
      <c r="H610">
        <v>1</v>
      </c>
      <c r="I610" t="s">
        <v>1046</v>
      </c>
    </row>
    <row r="611" spans="1:9" ht="13.5" thickBot="1" x14ac:dyDescent="0.25">
      <c r="A611" s="1108">
        <v>401.14</v>
      </c>
      <c r="B611" s="1131" t="s">
        <v>2018</v>
      </c>
      <c r="C611" s="1132" t="s">
        <v>2019</v>
      </c>
      <c r="D611" s="1106" t="s">
        <v>1989</v>
      </c>
      <c r="E611" s="1107" t="s">
        <v>1210</v>
      </c>
      <c r="H611">
        <v>1</v>
      </c>
      <c r="I611" t="s">
        <v>1046</v>
      </c>
    </row>
    <row r="612" spans="1:9" ht="13.5" thickBot="1" x14ac:dyDescent="0.25">
      <c r="A612" s="1108">
        <v>401.14</v>
      </c>
      <c r="B612" s="1131" t="s">
        <v>2020</v>
      </c>
      <c r="C612" s="1132" t="s">
        <v>2021</v>
      </c>
      <c r="D612" s="1106" t="s">
        <v>1989</v>
      </c>
      <c r="E612" s="1107" t="s">
        <v>1210</v>
      </c>
      <c r="H612">
        <v>1</v>
      </c>
      <c r="I612" t="s">
        <v>1046</v>
      </c>
    </row>
    <row r="613" spans="1:9" s="1146" customFormat="1" ht="13.5" thickBot="1" x14ac:dyDescent="0.25">
      <c r="A613" s="1148"/>
      <c r="B613" s="1104" t="s">
        <v>2022</v>
      </c>
      <c r="C613" s="1116" t="s">
        <v>2023</v>
      </c>
      <c r="D613" s="1106" t="s">
        <v>1989</v>
      </c>
      <c r="E613" s="1139" t="s">
        <v>1210</v>
      </c>
      <c r="F613" s="1149"/>
      <c r="H613" s="1146">
        <v>1</v>
      </c>
      <c r="I613" s="1146" t="s">
        <v>1046</v>
      </c>
    </row>
    <row r="614" spans="1:9" ht="13.5" thickBot="1" x14ac:dyDescent="0.25">
      <c r="A614" s="1108">
        <v>401.25</v>
      </c>
      <c r="B614" s="1131" t="s">
        <v>2024</v>
      </c>
      <c r="C614" s="1132" t="s">
        <v>2025</v>
      </c>
      <c r="D614" s="1106" t="s">
        <v>1989</v>
      </c>
      <c r="E614" s="1107" t="s">
        <v>1210</v>
      </c>
      <c r="H614">
        <v>1</v>
      </c>
      <c r="I614" t="s">
        <v>1046</v>
      </c>
    </row>
    <row r="615" spans="1:9" ht="13.5" thickBot="1" x14ac:dyDescent="0.25">
      <c r="A615" s="1108">
        <v>401.25</v>
      </c>
      <c r="B615" s="1131" t="s">
        <v>2026</v>
      </c>
      <c r="C615" s="1132" t="s">
        <v>2027</v>
      </c>
      <c r="D615" s="1106" t="s">
        <v>1989</v>
      </c>
      <c r="E615" s="1107" t="s">
        <v>1210</v>
      </c>
      <c r="H615">
        <v>1</v>
      </c>
      <c r="I615" t="s">
        <v>1046</v>
      </c>
    </row>
    <row r="616" spans="1:9" ht="13.5" thickBot="1" x14ac:dyDescent="0.25">
      <c r="A616" s="1108">
        <v>401.25</v>
      </c>
      <c r="B616" s="1131" t="s">
        <v>2028</v>
      </c>
      <c r="C616" s="1132" t="s">
        <v>2029</v>
      </c>
      <c r="D616" s="1106" t="s">
        <v>1989</v>
      </c>
      <c r="E616" s="1107" t="s">
        <v>1210</v>
      </c>
      <c r="H616">
        <v>1</v>
      </c>
      <c r="I616" t="s">
        <v>1046</v>
      </c>
    </row>
    <row r="617" spans="1:9" ht="13.5" thickBot="1" x14ac:dyDescent="0.25">
      <c r="A617" s="1108">
        <v>401.25</v>
      </c>
      <c r="B617" s="1131" t="s">
        <v>2030</v>
      </c>
      <c r="C617" s="1132" t="s">
        <v>2031</v>
      </c>
      <c r="D617" s="1106" t="s">
        <v>1989</v>
      </c>
      <c r="E617" s="1107" t="s">
        <v>1210</v>
      </c>
      <c r="H617">
        <v>1</v>
      </c>
      <c r="I617" t="s">
        <v>1046</v>
      </c>
    </row>
    <row r="618" spans="1:9" ht="13.5" thickBot="1" x14ac:dyDescent="0.25">
      <c r="A618" s="1108">
        <v>401.25</v>
      </c>
      <c r="B618" s="1131" t="s">
        <v>2032</v>
      </c>
      <c r="C618" s="1132" t="s">
        <v>2033</v>
      </c>
      <c r="D618" s="1106" t="s">
        <v>1989</v>
      </c>
      <c r="E618" s="1107" t="s">
        <v>1210</v>
      </c>
      <c r="H618">
        <v>1</v>
      </c>
      <c r="I618" t="s">
        <v>1046</v>
      </c>
    </row>
    <row r="619" spans="1:9" ht="13.5" thickBot="1" x14ac:dyDescent="0.25">
      <c r="A619" s="1108">
        <v>401.25</v>
      </c>
      <c r="B619" s="1131" t="s">
        <v>2034</v>
      </c>
      <c r="C619" s="1132" t="s">
        <v>2035</v>
      </c>
      <c r="D619" s="1106" t="s">
        <v>1989</v>
      </c>
      <c r="E619" s="1107" t="s">
        <v>1210</v>
      </c>
      <c r="H619">
        <v>1</v>
      </c>
      <c r="I619" t="s">
        <v>1046</v>
      </c>
    </row>
    <row r="620" spans="1:9" s="1146" customFormat="1" ht="13.5" thickBot="1" x14ac:dyDescent="0.25">
      <c r="A620" s="1148"/>
      <c r="B620" s="1104" t="s">
        <v>2036</v>
      </c>
      <c r="C620" s="1116" t="s">
        <v>2037</v>
      </c>
      <c r="D620" s="1106" t="s">
        <v>1989</v>
      </c>
      <c r="E620" s="1139" t="s">
        <v>1210</v>
      </c>
      <c r="F620" s="1149"/>
      <c r="H620" s="1146">
        <v>1</v>
      </c>
      <c r="I620" s="1146" t="s">
        <v>1046</v>
      </c>
    </row>
    <row r="621" spans="1:9" ht="13.5" thickBot="1" x14ac:dyDescent="0.25">
      <c r="A621" s="1108">
        <v>401.01</v>
      </c>
      <c r="B621" s="1131" t="s">
        <v>2038</v>
      </c>
      <c r="C621" s="1132" t="s">
        <v>2039</v>
      </c>
      <c r="D621" s="1106" t="s">
        <v>1989</v>
      </c>
      <c r="E621" s="1107" t="s">
        <v>1210</v>
      </c>
      <c r="H621">
        <v>1</v>
      </c>
      <c r="I621" t="s">
        <v>1046</v>
      </c>
    </row>
    <row r="622" spans="1:9" ht="13.5" thickBot="1" x14ac:dyDescent="0.25">
      <c r="A622" s="1108">
        <v>401.02</v>
      </c>
      <c r="B622" s="1131" t="s">
        <v>2040</v>
      </c>
      <c r="C622" s="1132" t="s">
        <v>2041</v>
      </c>
      <c r="D622" s="1106" t="s">
        <v>1989</v>
      </c>
      <c r="E622" s="1107" t="s">
        <v>1210</v>
      </c>
      <c r="H622">
        <v>1</v>
      </c>
      <c r="I622" t="s">
        <v>1046</v>
      </c>
    </row>
    <row r="623" spans="1:9" ht="13.5" thickBot="1" x14ac:dyDescent="0.25">
      <c r="A623" s="1108">
        <v>401.03</v>
      </c>
      <c r="B623" s="1131" t="s">
        <v>2042</v>
      </c>
      <c r="C623" s="1132" t="s">
        <v>2043</v>
      </c>
      <c r="D623" s="1106" t="s">
        <v>1989</v>
      </c>
      <c r="E623" s="1107" t="s">
        <v>1210</v>
      </c>
      <c r="H623">
        <v>1</v>
      </c>
      <c r="I623" t="s">
        <v>1046</v>
      </c>
    </row>
    <row r="624" spans="1:9" ht="13.5" thickBot="1" x14ac:dyDescent="0.25">
      <c r="A624" s="1108">
        <v>401.1</v>
      </c>
      <c r="B624" s="1131" t="s">
        <v>2044</v>
      </c>
      <c r="C624" s="1132" t="s">
        <v>2045</v>
      </c>
      <c r="D624" s="1106" t="s">
        <v>1989</v>
      </c>
      <c r="E624" s="1107" t="s">
        <v>1210</v>
      </c>
      <c r="H624">
        <v>1</v>
      </c>
      <c r="I624" t="s">
        <v>1046</v>
      </c>
    </row>
    <row r="625" spans="1:9" ht="13.5" thickBot="1" x14ac:dyDescent="0.25">
      <c r="A625" s="1108">
        <v>401.11</v>
      </c>
      <c r="B625" s="1131" t="s">
        <v>2046</v>
      </c>
      <c r="C625" s="1132" t="s">
        <v>2047</v>
      </c>
      <c r="D625" s="1106" t="s">
        <v>1989</v>
      </c>
      <c r="E625" s="1107" t="s">
        <v>1210</v>
      </c>
      <c r="H625">
        <v>1</v>
      </c>
      <c r="I625" t="s">
        <v>1046</v>
      </c>
    </row>
    <row r="626" spans="1:9" ht="13.5" thickBot="1" x14ac:dyDescent="0.25">
      <c r="A626" s="1108">
        <v>401.04</v>
      </c>
      <c r="B626" s="1131" t="s">
        <v>2048</v>
      </c>
      <c r="C626" s="1132" t="s">
        <v>2049</v>
      </c>
      <c r="D626" s="1106" t="s">
        <v>1989</v>
      </c>
      <c r="E626" s="1107" t="s">
        <v>1210</v>
      </c>
      <c r="H626">
        <v>1</v>
      </c>
      <c r="I626" t="s">
        <v>1046</v>
      </c>
    </row>
    <row r="627" spans="1:9" ht="13.5" thickBot="1" x14ac:dyDescent="0.25">
      <c r="A627" s="1108">
        <v>401.05</v>
      </c>
      <c r="B627" s="1131" t="s">
        <v>2050</v>
      </c>
      <c r="C627" s="1132" t="s">
        <v>2051</v>
      </c>
      <c r="D627" s="1106" t="s">
        <v>1989</v>
      </c>
      <c r="E627" s="1107" t="s">
        <v>1210</v>
      </c>
      <c r="H627">
        <v>1</v>
      </c>
      <c r="I627" t="s">
        <v>1046</v>
      </c>
    </row>
    <row r="628" spans="1:9" ht="13.5" thickBot="1" x14ac:dyDescent="0.25">
      <c r="A628" s="1108">
        <v>401.06</v>
      </c>
      <c r="B628" s="1131" t="s">
        <v>2052</v>
      </c>
      <c r="C628" s="1132" t="s">
        <v>2053</v>
      </c>
      <c r="D628" s="1106" t="s">
        <v>1989</v>
      </c>
      <c r="E628" s="1107" t="s">
        <v>1210</v>
      </c>
      <c r="H628">
        <v>1</v>
      </c>
      <c r="I628" t="s">
        <v>1046</v>
      </c>
    </row>
    <row r="629" spans="1:9" ht="13.5" thickBot="1" x14ac:dyDescent="0.25">
      <c r="A629" s="1108">
        <v>401.12</v>
      </c>
      <c r="B629" s="1131" t="s">
        <v>2054</v>
      </c>
      <c r="C629" s="1132" t="s">
        <v>2055</v>
      </c>
      <c r="D629" s="1106" t="s">
        <v>1989</v>
      </c>
      <c r="E629" s="1107" t="s">
        <v>1210</v>
      </c>
      <c r="H629">
        <v>1</v>
      </c>
      <c r="I629" t="s">
        <v>1046</v>
      </c>
    </row>
    <row r="630" spans="1:9" ht="13.5" thickBot="1" x14ac:dyDescent="0.25">
      <c r="A630" s="1108">
        <v>401.12</v>
      </c>
      <c r="B630" s="1131" t="s">
        <v>2056</v>
      </c>
      <c r="C630" s="1132" t="s">
        <v>2057</v>
      </c>
      <c r="D630" s="1106" t="s">
        <v>1989</v>
      </c>
      <c r="E630" s="1107" t="s">
        <v>1210</v>
      </c>
      <c r="H630">
        <v>1</v>
      </c>
      <c r="I630" t="s">
        <v>1046</v>
      </c>
    </row>
    <row r="631" spans="1:9" ht="13.5" thickBot="1" x14ac:dyDescent="0.25">
      <c r="A631" s="1108">
        <v>401.07</v>
      </c>
      <c r="B631" s="1131" t="s">
        <v>2058</v>
      </c>
      <c r="C631" s="1132" t="s">
        <v>2059</v>
      </c>
      <c r="D631" s="1106" t="s">
        <v>1989</v>
      </c>
      <c r="E631" s="1107" t="s">
        <v>1210</v>
      </c>
      <c r="H631">
        <v>1</v>
      </c>
      <c r="I631" t="s">
        <v>1046</v>
      </c>
    </row>
    <row r="632" spans="1:9" ht="13.5" thickBot="1" x14ac:dyDescent="0.25">
      <c r="A632" s="1108">
        <v>401.08</v>
      </c>
      <c r="B632" s="1131" t="s">
        <v>2060</v>
      </c>
      <c r="C632" s="1132" t="s">
        <v>2061</v>
      </c>
      <c r="D632" s="1106" t="s">
        <v>1989</v>
      </c>
      <c r="E632" s="1107" t="s">
        <v>1210</v>
      </c>
      <c r="H632">
        <v>1</v>
      </c>
      <c r="I632" t="s">
        <v>1046</v>
      </c>
    </row>
    <row r="633" spans="1:9" ht="13.5" thickBot="1" x14ac:dyDescent="0.25">
      <c r="A633" s="1108">
        <v>401.09</v>
      </c>
      <c r="B633" s="1131" t="s">
        <v>2062</v>
      </c>
      <c r="C633" s="1132" t="s">
        <v>2063</v>
      </c>
      <c r="D633" s="1106" t="s">
        <v>1989</v>
      </c>
      <c r="E633" s="1107" t="s">
        <v>1210</v>
      </c>
      <c r="H633">
        <v>1</v>
      </c>
      <c r="I633" t="s">
        <v>1046</v>
      </c>
    </row>
    <row r="634" spans="1:9" ht="13.5" thickBot="1" x14ac:dyDescent="0.25">
      <c r="A634" s="1108">
        <v>401.14</v>
      </c>
      <c r="B634" s="1131" t="s">
        <v>2064</v>
      </c>
      <c r="C634" s="1132" t="s">
        <v>2065</v>
      </c>
      <c r="D634" s="1106" t="s">
        <v>1989</v>
      </c>
      <c r="E634" s="1107" t="s">
        <v>1210</v>
      </c>
      <c r="H634">
        <v>1</v>
      </c>
      <c r="I634" t="s">
        <v>1046</v>
      </c>
    </row>
    <row r="635" spans="1:9" ht="13.5" thickBot="1" x14ac:dyDescent="0.25">
      <c r="A635" s="1108">
        <v>401.14</v>
      </c>
      <c r="B635" s="1131" t="s">
        <v>2066</v>
      </c>
      <c r="C635" s="1132" t="s">
        <v>2067</v>
      </c>
      <c r="D635" s="1106" t="s">
        <v>1989</v>
      </c>
      <c r="E635" s="1107" t="s">
        <v>1210</v>
      </c>
      <c r="H635">
        <v>1</v>
      </c>
      <c r="I635" t="s">
        <v>1046</v>
      </c>
    </row>
    <row r="636" spans="1:9" ht="13.5" thickBot="1" x14ac:dyDescent="0.25">
      <c r="A636" s="1108">
        <v>401.16</v>
      </c>
      <c r="B636" s="1131" t="s">
        <v>2068</v>
      </c>
      <c r="C636" s="1132" t="s">
        <v>2069</v>
      </c>
      <c r="D636" s="1106" t="s">
        <v>1989</v>
      </c>
      <c r="E636" s="1107" t="s">
        <v>1210</v>
      </c>
      <c r="H636">
        <v>1</v>
      </c>
      <c r="I636" t="s">
        <v>1046</v>
      </c>
    </row>
    <row r="637" spans="1:9" ht="13.5" thickBot="1" x14ac:dyDescent="0.25">
      <c r="A637" s="1108">
        <v>401.17</v>
      </c>
      <c r="B637" s="1131" t="s">
        <v>2070</v>
      </c>
      <c r="C637" s="1132" t="s">
        <v>2071</v>
      </c>
      <c r="D637" s="1106" t="s">
        <v>1989</v>
      </c>
      <c r="E637" s="1107" t="s">
        <v>1210</v>
      </c>
      <c r="H637">
        <v>1</v>
      </c>
      <c r="I637" t="s">
        <v>1046</v>
      </c>
    </row>
    <row r="638" spans="1:9" ht="13.5" thickBot="1" x14ac:dyDescent="0.25">
      <c r="A638" s="1108">
        <v>401.18</v>
      </c>
      <c r="B638" s="1131" t="s">
        <v>2072</v>
      </c>
      <c r="C638" s="1132" t="s">
        <v>2073</v>
      </c>
      <c r="D638" s="1106" t="s">
        <v>1989</v>
      </c>
      <c r="E638" s="1107" t="s">
        <v>1210</v>
      </c>
      <c r="H638">
        <v>1</v>
      </c>
      <c r="I638" t="s">
        <v>1046</v>
      </c>
    </row>
    <row r="639" spans="1:9" ht="13.5" thickBot="1" x14ac:dyDescent="0.25">
      <c r="A639" s="1108">
        <v>401.19</v>
      </c>
      <c r="B639" s="1131" t="s">
        <v>2074</v>
      </c>
      <c r="C639" s="1132" t="s">
        <v>2075</v>
      </c>
      <c r="D639" s="1106" t="s">
        <v>1989</v>
      </c>
      <c r="E639" s="1107" t="s">
        <v>1210</v>
      </c>
      <c r="H639">
        <v>1</v>
      </c>
      <c r="I639" t="s">
        <v>1046</v>
      </c>
    </row>
    <row r="640" spans="1:9" ht="13.5" thickBot="1" x14ac:dyDescent="0.25">
      <c r="A640" s="1108">
        <v>401.2</v>
      </c>
      <c r="B640" s="1131" t="s">
        <v>2076</v>
      </c>
      <c r="C640" s="1132" t="s">
        <v>2077</v>
      </c>
      <c r="D640" s="1106" t="s">
        <v>1989</v>
      </c>
      <c r="E640" s="1107" t="s">
        <v>1210</v>
      </c>
      <c r="H640">
        <v>1</v>
      </c>
      <c r="I640" t="s">
        <v>1046</v>
      </c>
    </row>
    <row r="641" spans="1:9" ht="13.5" thickBot="1" x14ac:dyDescent="0.25">
      <c r="A641" s="1108">
        <v>401.21</v>
      </c>
      <c r="B641" s="1131" t="s">
        <v>2078</v>
      </c>
      <c r="C641" s="1132" t="s">
        <v>2079</v>
      </c>
      <c r="D641" s="1106" t="s">
        <v>1989</v>
      </c>
      <c r="E641" s="1107" t="s">
        <v>1210</v>
      </c>
      <c r="H641">
        <v>1</v>
      </c>
      <c r="I641" t="s">
        <v>1046</v>
      </c>
    </row>
    <row r="642" spans="1:9" s="1146" customFormat="1" ht="13.5" thickBot="1" x14ac:dyDescent="0.25">
      <c r="A642" s="1148"/>
      <c r="B642" s="1104" t="s">
        <v>2080</v>
      </c>
      <c r="C642" s="1116" t="s">
        <v>2081</v>
      </c>
      <c r="D642" s="1106" t="s">
        <v>1989</v>
      </c>
      <c r="E642" s="1139" t="s">
        <v>1210</v>
      </c>
      <c r="F642" s="1149"/>
      <c r="H642" s="1146">
        <v>1</v>
      </c>
      <c r="I642" s="1146" t="s">
        <v>1046</v>
      </c>
    </row>
    <row r="643" spans="1:9" ht="13.5" thickBot="1" x14ac:dyDescent="0.25">
      <c r="A643" s="1108">
        <v>401.22</v>
      </c>
      <c r="B643" s="1131" t="s">
        <v>2082</v>
      </c>
      <c r="C643" s="1132" t="s">
        <v>2083</v>
      </c>
      <c r="D643" s="1106" t="s">
        <v>1989</v>
      </c>
      <c r="E643" s="1107" t="s">
        <v>1210</v>
      </c>
      <c r="H643">
        <v>1</v>
      </c>
      <c r="I643" t="s">
        <v>1046</v>
      </c>
    </row>
    <row r="644" spans="1:9" ht="13.5" thickBot="1" x14ac:dyDescent="0.25">
      <c r="A644" s="1108">
        <v>401.23</v>
      </c>
      <c r="B644" s="1131" t="s">
        <v>2084</v>
      </c>
      <c r="C644" s="1132" t="s">
        <v>2085</v>
      </c>
      <c r="D644" s="1106" t="s">
        <v>1989</v>
      </c>
      <c r="E644" s="1107" t="s">
        <v>1210</v>
      </c>
      <c r="H644">
        <v>1</v>
      </c>
      <c r="I644" t="s">
        <v>1046</v>
      </c>
    </row>
    <row r="645" spans="1:9" ht="13.5" thickBot="1" x14ac:dyDescent="0.25">
      <c r="A645" s="1108">
        <v>401.24</v>
      </c>
      <c r="B645" s="1131" t="s">
        <v>2086</v>
      </c>
      <c r="C645" s="1132" t="s">
        <v>2087</v>
      </c>
      <c r="D645" s="1106" t="s">
        <v>1989</v>
      </c>
      <c r="E645" s="1107" t="s">
        <v>1210</v>
      </c>
      <c r="H645">
        <v>1</v>
      </c>
      <c r="I645" t="s">
        <v>1046</v>
      </c>
    </row>
    <row r="646" spans="1:9" ht="13.5" thickBot="1" x14ac:dyDescent="0.25">
      <c r="A646" s="1108">
        <v>401.22</v>
      </c>
      <c r="B646" s="1131" t="s">
        <v>2088</v>
      </c>
      <c r="C646" s="1132" t="s">
        <v>2089</v>
      </c>
      <c r="D646" s="1106" t="s">
        <v>1989</v>
      </c>
      <c r="E646" s="1107" t="s">
        <v>1210</v>
      </c>
      <c r="H646">
        <v>1</v>
      </c>
      <c r="I646" t="s">
        <v>1046</v>
      </c>
    </row>
    <row r="647" spans="1:9" ht="13.5" thickBot="1" x14ac:dyDescent="0.25">
      <c r="A647" s="1108">
        <v>401.23</v>
      </c>
      <c r="B647" s="1131" t="s">
        <v>2090</v>
      </c>
      <c r="C647" s="1132" t="s">
        <v>2091</v>
      </c>
      <c r="D647" s="1106" t="s">
        <v>1989</v>
      </c>
      <c r="E647" s="1107" t="s">
        <v>1210</v>
      </c>
      <c r="H647">
        <v>1</v>
      </c>
      <c r="I647" t="s">
        <v>1046</v>
      </c>
    </row>
    <row r="648" spans="1:9" ht="13.5" thickBot="1" x14ac:dyDescent="0.25">
      <c r="A648" s="1108">
        <v>401.24</v>
      </c>
      <c r="B648" s="1131" t="s">
        <v>2092</v>
      </c>
      <c r="C648" s="1132" t="s">
        <v>2093</v>
      </c>
      <c r="D648" s="1106" t="s">
        <v>1989</v>
      </c>
      <c r="E648" s="1107" t="s">
        <v>1210</v>
      </c>
      <c r="H648">
        <v>1</v>
      </c>
      <c r="I648" t="s">
        <v>1046</v>
      </c>
    </row>
    <row r="649" spans="1:9" s="1146" customFormat="1" ht="13.5" thickBot="1" x14ac:dyDescent="0.25">
      <c r="A649" s="1148"/>
      <c r="B649" s="1104" t="s">
        <v>2094</v>
      </c>
      <c r="C649" s="1116" t="s">
        <v>2095</v>
      </c>
      <c r="D649" s="1106" t="s">
        <v>1989</v>
      </c>
      <c r="E649" s="1139" t="s">
        <v>1210</v>
      </c>
      <c r="F649" s="1149"/>
      <c r="H649" s="1146">
        <v>1</v>
      </c>
      <c r="I649" s="1146" t="s">
        <v>1046</v>
      </c>
    </row>
    <row r="650" spans="1:9" ht="13.5" thickBot="1" x14ac:dyDescent="0.25">
      <c r="A650" s="1108">
        <v>401.26</v>
      </c>
      <c r="B650" s="1131" t="s">
        <v>2096</v>
      </c>
      <c r="C650" s="1132" t="s">
        <v>2097</v>
      </c>
      <c r="D650" s="1106" t="s">
        <v>1989</v>
      </c>
      <c r="E650" s="1107" t="s">
        <v>1210</v>
      </c>
      <c r="H650">
        <v>1</v>
      </c>
      <c r="I650" t="s">
        <v>1046</v>
      </c>
    </row>
    <row r="651" spans="1:9" ht="13.5" thickBot="1" x14ac:dyDescent="0.25">
      <c r="A651" s="1108">
        <v>401.26</v>
      </c>
      <c r="B651" s="1131" t="s">
        <v>2098</v>
      </c>
      <c r="C651" s="1132" t="s">
        <v>2099</v>
      </c>
      <c r="D651" s="1106" t="s">
        <v>1989</v>
      </c>
      <c r="E651" s="1107" t="s">
        <v>1210</v>
      </c>
      <c r="H651">
        <v>1</v>
      </c>
      <c r="I651" t="s">
        <v>1046</v>
      </c>
    </row>
    <row r="652" spans="1:9" ht="13.5" thickBot="1" x14ac:dyDescent="0.25">
      <c r="A652" s="1108">
        <v>401.26</v>
      </c>
      <c r="B652" s="1131" t="s">
        <v>2100</v>
      </c>
      <c r="C652" s="1132" t="s">
        <v>2101</v>
      </c>
      <c r="D652" s="1106" t="s">
        <v>1989</v>
      </c>
      <c r="E652" s="1107" t="s">
        <v>1210</v>
      </c>
      <c r="H652">
        <v>1</v>
      </c>
      <c r="I652" t="s">
        <v>1046</v>
      </c>
    </row>
    <row r="653" spans="1:9" ht="13.5" thickBot="1" x14ac:dyDescent="0.25">
      <c r="A653" s="1108">
        <v>401.27</v>
      </c>
      <c r="B653" s="1131" t="s">
        <v>2102</v>
      </c>
      <c r="C653" s="1132" t="s">
        <v>2103</v>
      </c>
      <c r="D653" s="1106" t="s">
        <v>1989</v>
      </c>
      <c r="E653" s="1107" t="s">
        <v>1210</v>
      </c>
      <c r="H653">
        <v>1</v>
      </c>
      <c r="I653" t="s">
        <v>1046</v>
      </c>
    </row>
    <row r="654" spans="1:9" ht="13.5" thickBot="1" x14ac:dyDescent="0.25">
      <c r="A654" s="1108">
        <v>401.27</v>
      </c>
      <c r="B654" s="1131" t="s">
        <v>2104</v>
      </c>
      <c r="C654" s="1132" t="s">
        <v>2105</v>
      </c>
      <c r="D654" s="1106" t="s">
        <v>1989</v>
      </c>
      <c r="E654" s="1107" t="s">
        <v>1210</v>
      </c>
      <c r="H654">
        <v>1</v>
      </c>
      <c r="I654" t="s">
        <v>1046</v>
      </c>
    </row>
    <row r="655" spans="1:9" ht="13.5" thickBot="1" x14ac:dyDescent="0.25">
      <c r="A655" s="1108">
        <v>401.27</v>
      </c>
      <c r="B655" s="1131" t="s">
        <v>2106</v>
      </c>
      <c r="C655" s="1132" t="s">
        <v>2107</v>
      </c>
      <c r="D655" s="1106" t="s">
        <v>1989</v>
      </c>
      <c r="E655" s="1107" t="s">
        <v>1210</v>
      </c>
      <c r="H655">
        <v>1</v>
      </c>
      <c r="I655" t="s">
        <v>1046</v>
      </c>
    </row>
    <row r="656" spans="1:9" ht="13.5" thickBot="1" x14ac:dyDescent="0.25">
      <c r="A656" s="1108">
        <v>401.28</v>
      </c>
      <c r="B656" s="1131" t="s">
        <v>2108</v>
      </c>
      <c r="C656" s="1132" t="s">
        <v>2109</v>
      </c>
      <c r="D656" s="1106" t="s">
        <v>1989</v>
      </c>
      <c r="E656" s="1107" t="s">
        <v>1210</v>
      </c>
      <c r="H656">
        <v>1</v>
      </c>
      <c r="I656" t="s">
        <v>1046</v>
      </c>
    </row>
    <row r="657" spans="1:9" ht="13.5" thickBot="1" x14ac:dyDescent="0.25">
      <c r="A657" s="1108">
        <v>401.29</v>
      </c>
      <c r="B657" s="1131" t="s">
        <v>2110</v>
      </c>
      <c r="C657" s="1132" t="s">
        <v>2111</v>
      </c>
      <c r="D657" s="1106" t="s">
        <v>1989</v>
      </c>
      <c r="E657" s="1107" t="s">
        <v>1210</v>
      </c>
      <c r="H657">
        <v>1</v>
      </c>
      <c r="I657" t="s">
        <v>1046</v>
      </c>
    </row>
    <row r="658" spans="1:9" ht="13.5" thickBot="1" x14ac:dyDescent="0.25">
      <c r="A658" s="1108">
        <v>401.29</v>
      </c>
      <c r="B658" s="1131" t="s">
        <v>2112</v>
      </c>
      <c r="C658" s="1132" t="s">
        <v>2113</v>
      </c>
      <c r="D658" s="1106" t="s">
        <v>1989</v>
      </c>
      <c r="E658" s="1107" t="s">
        <v>1210</v>
      </c>
      <c r="H658">
        <v>1</v>
      </c>
      <c r="I658" t="s">
        <v>1046</v>
      </c>
    </row>
    <row r="659" spans="1:9" ht="13.5" thickBot="1" x14ac:dyDescent="0.25">
      <c r="A659" s="1108">
        <v>401.29</v>
      </c>
      <c r="B659" s="1131" t="s">
        <v>2114</v>
      </c>
      <c r="C659" s="1132" t="s">
        <v>2115</v>
      </c>
      <c r="D659" s="1106" t="s">
        <v>1989</v>
      </c>
      <c r="E659" s="1107" t="s">
        <v>1210</v>
      </c>
      <c r="H659">
        <v>1</v>
      </c>
      <c r="I659" t="s">
        <v>1046</v>
      </c>
    </row>
    <row r="660" spans="1:9" ht="13.5" thickBot="1" x14ac:dyDescent="0.25">
      <c r="A660" s="1108">
        <v>401.3</v>
      </c>
      <c r="B660" s="1131" t="s">
        <v>2116</v>
      </c>
      <c r="C660" s="1132" t="s">
        <v>2117</v>
      </c>
      <c r="D660" s="1106" t="s">
        <v>1989</v>
      </c>
      <c r="E660" s="1107" t="s">
        <v>1210</v>
      </c>
      <c r="H660">
        <v>1</v>
      </c>
      <c r="I660" t="s">
        <v>1046</v>
      </c>
    </row>
    <row r="661" spans="1:9" ht="13.5" thickBot="1" x14ac:dyDescent="0.25">
      <c r="A661" s="1108">
        <v>401.3</v>
      </c>
      <c r="B661" s="1131" t="s">
        <v>2118</v>
      </c>
      <c r="C661" s="1132" t="s">
        <v>2119</v>
      </c>
      <c r="D661" s="1106" t="s">
        <v>1989</v>
      </c>
      <c r="E661" s="1107" t="s">
        <v>1210</v>
      </c>
      <c r="H661">
        <v>1</v>
      </c>
      <c r="I661" t="s">
        <v>1046</v>
      </c>
    </row>
    <row r="662" spans="1:9" ht="13.5" thickBot="1" x14ac:dyDescent="0.25">
      <c r="A662" s="1108">
        <v>401.3</v>
      </c>
      <c r="B662" s="1131" t="s">
        <v>2120</v>
      </c>
      <c r="C662" s="1132" t="s">
        <v>2121</v>
      </c>
      <c r="D662" s="1106" t="s">
        <v>1989</v>
      </c>
      <c r="E662" s="1107" t="s">
        <v>1210</v>
      </c>
      <c r="H662">
        <v>1</v>
      </c>
      <c r="I662" t="s">
        <v>1046</v>
      </c>
    </row>
    <row r="663" spans="1:9" ht="13.5" thickBot="1" x14ac:dyDescent="0.25">
      <c r="A663" s="1108">
        <v>401.31</v>
      </c>
      <c r="B663" s="1131" t="s">
        <v>2122</v>
      </c>
      <c r="C663" s="1132" t="s">
        <v>2123</v>
      </c>
      <c r="D663" s="1106" t="s">
        <v>1989</v>
      </c>
      <c r="E663" s="1107" t="s">
        <v>1210</v>
      </c>
      <c r="H663">
        <v>1</v>
      </c>
      <c r="I663" t="s">
        <v>1046</v>
      </c>
    </row>
    <row r="664" spans="1:9" ht="13.5" thickBot="1" x14ac:dyDescent="0.25">
      <c r="A664" s="1108">
        <v>401.31</v>
      </c>
      <c r="B664" s="1131" t="s">
        <v>2124</v>
      </c>
      <c r="C664" s="1132" t="s">
        <v>2125</v>
      </c>
      <c r="D664" s="1106" t="s">
        <v>1989</v>
      </c>
      <c r="E664" s="1107" t="s">
        <v>1210</v>
      </c>
      <c r="H664">
        <v>1</v>
      </c>
      <c r="I664" t="s">
        <v>1046</v>
      </c>
    </row>
    <row r="665" spans="1:9" ht="13.5" thickBot="1" x14ac:dyDescent="0.25">
      <c r="A665" s="1108">
        <v>401.31</v>
      </c>
      <c r="B665" s="1131" t="s">
        <v>2126</v>
      </c>
      <c r="C665" s="1132" t="s">
        <v>2127</v>
      </c>
      <c r="D665" s="1106" t="s">
        <v>1989</v>
      </c>
      <c r="E665" s="1107" t="s">
        <v>1210</v>
      </c>
      <c r="H665">
        <v>1</v>
      </c>
      <c r="I665" t="s">
        <v>1046</v>
      </c>
    </row>
    <row r="666" spans="1:9" ht="13.5" thickBot="1" x14ac:dyDescent="0.25">
      <c r="A666" s="1108">
        <v>401.32</v>
      </c>
      <c r="B666" s="1131" t="s">
        <v>2128</v>
      </c>
      <c r="C666" s="1132" t="s">
        <v>2129</v>
      </c>
      <c r="D666" s="1106" t="s">
        <v>1989</v>
      </c>
      <c r="E666" s="1107" t="s">
        <v>1210</v>
      </c>
      <c r="H666">
        <v>1</v>
      </c>
      <c r="I666" t="s">
        <v>1046</v>
      </c>
    </row>
    <row r="667" spans="1:9" ht="13.5" thickBot="1" x14ac:dyDescent="0.25">
      <c r="A667" s="1108">
        <v>401.32</v>
      </c>
      <c r="B667" s="1131" t="s">
        <v>2130</v>
      </c>
      <c r="C667" s="1132" t="s">
        <v>2131</v>
      </c>
      <c r="D667" s="1106" t="s">
        <v>1989</v>
      </c>
      <c r="E667" s="1107" t="s">
        <v>1210</v>
      </c>
      <c r="H667">
        <v>1</v>
      </c>
      <c r="I667" t="s">
        <v>1046</v>
      </c>
    </row>
    <row r="668" spans="1:9" ht="13.5" thickBot="1" x14ac:dyDescent="0.25">
      <c r="A668" s="1108">
        <v>401.33</v>
      </c>
      <c r="B668" s="1131" t="s">
        <v>2132</v>
      </c>
      <c r="C668" s="1132" t="s">
        <v>2133</v>
      </c>
      <c r="D668" s="1106" t="s">
        <v>1989</v>
      </c>
      <c r="E668" s="1107" t="s">
        <v>1210</v>
      </c>
      <c r="H668">
        <v>1</v>
      </c>
      <c r="I668" t="s">
        <v>1046</v>
      </c>
    </row>
    <row r="669" spans="1:9" ht="13.5" thickBot="1" x14ac:dyDescent="0.25">
      <c r="A669" s="1108">
        <v>401.34</v>
      </c>
      <c r="B669" s="1131" t="s">
        <v>2134</v>
      </c>
      <c r="C669" s="1132" t="s">
        <v>2135</v>
      </c>
      <c r="D669" s="1106" t="s">
        <v>1989</v>
      </c>
      <c r="E669" s="1107" t="s">
        <v>1210</v>
      </c>
      <c r="H669">
        <v>1</v>
      </c>
      <c r="I669" t="s">
        <v>1046</v>
      </c>
    </row>
    <row r="670" spans="1:9" ht="13.5" thickBot="1" x14ac:dyDescent="0.25">
      <c r="A670" s="1108">
        <v>401.35</v>
      </c>
      <c r="B670" s="1131" t="s">
        <v>2136</v>
      </c>
      <c r="C670" s="1132" t="s">
        <v>2137</v>
      </c>
      <c r="D670" s="1106" t="s">
        <v>1989</v>
      </c>
      <c r="E670" s="1107" t="s">
        <v>1210</v>
      </c>
      <c r="H670">
        <v>1</v>
      </c>
      <c r="I670" t="s">
        <v>1046</v>
      </c>
    </row>
    <row r="671" spans="1:9" ht="13.5" thickBot="1" x14ac:dyDescent="0.25">
      <c r="A671" s="1108">
        <v>401.36</v>
      </c>
      <c r="B671" s="1131" t="s">
        <v>2138</v>
      </c>
      <c r="C671" s="1132" t="s">
        <v>2139</v>
      </c>
      <c r="D671" s="1106" t="s">
        <v>1989</v>
      </c>
      <c r="E671" s="1107" t="s">
        <v>1210</v>
      </c>
      <c r="H671">
        <v>1</v>
      </c>
      <c r="I671" t="s">
        <v>1046</v>
      </c>
    </row>
    <row r="672" spans="1:9" ht="13.5" thickBot="1" x14ac:dyDescent="0.25">
      <c r="A672" s="1108">
        <v>401.37</v>
      </c>
      <c r="B672" s="1131" t="s">
        <v>2140</v>
      </c>
      <c r="C672" s="1132" t="s">
        <v>2141</v>
      </c>
      <c r="D672" s="1106" t="s">
        <v>1989</v>
      </c>
      <c r="E672" s="1107" t="s">
        <v>1210</v>
      </c>
      <c r="H672">
        <v>1</v>
      </c>
      <c r="I672" t="s">
        <v>1046</v>
      </c>
    </row>
    <row r="673" spans="1:9" ht="13.5" thickBot="1" x14ac:dyDescent="0.25">
      <c r="A673" s="1108">
        <v>401.38</v>
      </c>
      <c r="B673" s="1131" t="s">
        <v>2142</v>
      </c>
      <c r="C673" s="1132" t="s">
        <v>2143</v>
      </c>
      <c r="D673" s="1106" t="s">
        <v>1989</v>
      </c>
      <c r="E673" s="1107" t="s">
        <v>1210</v>
      </c>
      <c r="H673">
        <v>1</v>
      </c>
      <c r="I673" t="s">
        <v>1046</v>
      </c>
    </row>
    <row r="674" spans="1:9" s="1146" customFormat="1" ht="13.5" thickBot="1" x14ac:dyDescent="0.25">
      <c r="A674" s="1104" t="s">
        <v>2144</v>
      </c>
      <c r="B674" s="1104" t="s">
        <v>2145</v>
      </c>
      <c r="C674" s="1116" t="s">
        <v>2146</v>
      </c>
      <c r="D674" s="1106" t="s">
        <v>1989</v>
      </c>
      <c r="E674" s="1139" t="s">
        <v>1047</v>
      </c>
      <c r="F674" s="1149"/>
      <c r="H674" s="1146">
        <v>1</v>
      </c>
      <c r="I674" s="1146" t="s">
        <v>1046</v>
      </c>
    </row>
    <row r="675" spans="1:9" ht="23.25" thickBot="1" x14ac:dyDescent="0.25">
      <c r="A675" s="1108">
        <v>402.01</v>
      </c>
      <c r="B675" s="1109" t="s">
        <v>2147</v>
      </c>
      <c r="C675" s="1110" t="s">
        <v>2148</v>
      </c>
      <c r="D675" s="1106" t="s">
        <v>1989</v>
      </c>
      <c r="E675" s="1107" t="s">
        <v>1047</v>
      </c>
      <c r="H675">
        <v>1</v>
      </c>
      <c r="I675" t="s">
        <v>1046</v>
      </c>
    </row>
    <row r="676" spans="1:9" ht="13.5" thickBot="1" x14ac:dyDescent="0.25">
      <c r="A676" s="1108">
        <v>402.02</v>
      </c>
      <c r="B676" s="1109" t="s">
        <v>2149</v>
      </c>
      <c r="C676" s="1110" t="s">
        <v>2150</v>
      </c>
      <c r="D676" s="1106" t="s">
        <v>1989</v>
      </c>
      <c r="E676" s="1107" t="s">
        <v>1047</v>
      </c>
      <c r="H676">
        <v>1</v>
      </c>
      <c r="I676" t="s">
        <v>1046</v>
      </c>
    </row>
    <row r="677" spans="1:9" ht="23.25" thickBot="1" x14ac:dyDescent="0.25">
      <c r="A677" s="1108">
        <v>402.03</v>
      </c>
      <c r="B677" s="1109" t="s">
        <v>2151</v>
      </c>
      <c r="C677" s="1110" t="s">
        <v>2152</v>
      </c>
      <c r="D677" s="1106" t="s">
        <v>1989</v>
      </c>
      <c r="E677" s="1107" t="s">
        <v>1047</v>
      </c>
      <c r="H677">
        <v>1</v>
      </c>
      <c r="I677" t="s">
        <v>1046</v>
      </c>
    </row>
    <row r="678" spans="1:9" ht="13.5" thickBot="1" x14ac:dyDescent="0.25">
      <c r="A678" s="1108">
        <v>402.04</v>
      </c>
      <c r="B678" s="1109" t="s">
        <v>2153</v>
      </c>
      <c r="C678" s="1110" t="s">
        <v>2154</v>
      </c>
      <c r="D678" s="1106" t="s">
        <v>1989</v>
      </c>
      <c r="E678" s="1107" t="s">
        <v>1047</v>
      </c>
      <c r="H678">
        <v>1</v>
      </c>
      <c r="I678" t="s">
        <v>1046</v>
      </c>
    </row>
    <row r="679" spans="1:9" s="1146" customFormat="1" ht="13.5" thickBot="1" x14ac:dyDescent="0.25">
      <c r="A679" s="1104" t="s">
        <v>2155</v>
      </c>
      <c r="B679" s="1104" t="s">
        <v>2156</v>
      </c>
      <c r="C679" s="1116" t="s">
        <v>2157</v>
      </c>
      <c r="D679" s="1106" t="s">
        <v>1989</v>
      </c>
      <c r="E679" s="1139" t="s">
        <v>1210</v>
      </c>
      <c r="F679" s="1149"/>
      <c r="H679" s="1146">
        <v>1</v>
      </c>
      <c r="I679" s="1146" t="s">
        <v>1046</v>
      </c>
    </row>
    <row r="680" spans="1:9" ht="13.5" thickBot="1" x14ac:dyDescent="0.25">
      <c r="A680" s="1108">
        <v>403.01</v>
      </c>
      <c r="B680" s="1109" t="s">
        <v>2158</v>
      </c>
      <c r="C680" s="1110" t="s">
        <v>2159</v>
      </c>
      <c r="D680" s="1106" t="s">
        <v>1989</v>
      </c>
      <c r="E680" s="1107" t="s">
        <v>1210</v>
      </c>
      <c r="H680">
        <v>1</v>
      </c>
      <c r="I680" t="s">
        <v>1046</v>
      </c>
    </row>
    <row r="681" spans="1:9" ht="13.5" thickBot="1" x14ac:dyDescent="0.25">
      <c r="A681" s="1108">
        <v>403.02</v>
      </c>
      <c r="B681" s="1109" t="s">
        <v>2160</v>
      </c>
      <c r="C681" s="1110" t="s">
        <v>2161</v>
      </c>
      <c r="D681" s="1106" t="s">
        <v>1989</v>
      </c>
      <c r="E681" s="1107" t="s">
        <v>1210</v>
      </c>
      <c r="H681">
        <v>1</v>
      </c>
      <c r="I681" t="s">
        <v>1046</v>
      </c>
    </row>
    <row r="682" spans="1:9" ht="13.5" thickBot="1" x14ac:dyDescent="0.25">
      <c r="A682" s="1108">
        <v>403.03</v>
      </c>
      <c r="B682" s="1109" t="s">
        <v>2162</v>
      </c>
      <c r="C682" s="1110" t="s">
        <v>2163</v>
      </c>
      <c r="D682" s="1106" t="s">
        <v>1989</v>
      </c>
      <c r="E682" s="1107" t="s">
        <v>1210</v>
      </c>
      <c r="H682">
        <v>1</v>
      </c>
      <c r="I682" t="s">
        <v>1046</v>
      </c>
    </row>
    <row r="683" spans="1:9" ht="13.5" thickBot="1" x14ac:dyDescent="0.25">
      <c r="A683" s="1108">
        <v>403.04</v>
      </c>
      <c r="B683" s="1109" t="s">
        <v>2164</v>
      </c>
      <c r="C683" s="1110" t="s">
        <v>2165</v>
      </c>
      <c r="D683" s="1106" t="s">
        <v>1989</v>
      </c>
      <c r="E683" s="1107" t="s">
        <v>1210</v>
      </c>
      <c r="H683">
        <v>1</v>
      </c>
      <c r="I683" t="s">
        <v>1046</v>
      </c>
    </row>
    <row r="684" spans="1:9" ht="13.5" thickBot="1" x14ac:dyDescent="0.25">
      <c r="A684" s="1108">
        <v>403.05</v>
      </c>
      <c r="B684" s="1109" t="s">
        <v>2166</v>
      </c>
      <c r="C684" s="1110" t="s">
        <v>2167</v>
      </c>
      <c r="D684" s="1106" t="s">
        <v>1989</v>
      </c>
      <c r="E684" s="1107" t="s">
        <v>1210</v>
      </c>
      <c r="H684">
        <v>1</v>
      </c>
      <c r="I684" t="s">
        <v>1046</v>
      </c>
    </row>
    <row r="685" spans="1:9" s="1146" customFormat="1" ht="13.5" thickBot="1" x14ac:dyDescent="0.25">
      <c r="A685" s="1104" t="s">
        <v>2168</v>
      </c>
      <c r="B685" s="1104" t="s">
        <v>2169</v>
      </c>
      <c r="C685" s="1116" t="s">
        <v>2170</v>
      </c>
      <c r="D685" s="1106" t="s">
        <v>1046</v>
      </c>
      <c r="E685" s="1139" t="s">
        <v>1047</v>
      </c>
      <c r="F685" s="1149"/>
      <c r="H685" s="1146">
        <v>1</v>
      </c>
      <c r="I685" s="1146" t="s">
        <v>1046</v>
      </c>
    </row>
    <row r="686" spans="1:9" ht="13.5" thickBot="1" x14ac:dyDescent="0.25">
      <c r="A686" s="1108">
        <v>501.01</v>
      </c>
      <c r="B686" s="1109" t="s">
        <v>2171</v>
      </c>
      <c r="C686" s="1110" t="s">
        <v>2172</v>
      </c>
      <c r="D686" s="1106" t="s">
        <v>1046</v>
      </c>
      <c r="E686" s="1107" t="s">
        <v>1047</v>
      </c>
      <c r="H686">
        <v>1</v>
      </c>
      <c r="I686" t="s">
        <v>1046</v>
      </c>
    </row>
    <row r="687" spans="1:9" ht="13.5" thickBot="1" x14ac:dyDescent="0.25">
      <c r="A687" s="1108">
        <v>501.02</v>
      </c>
      <c r="B687" s="1109" t="s">
        <v>2173</v>
      </c>
      <c r="C687" s="1110" t="s">
        <v>2174</v>
      </c>
      <c r="D687" s="1106" t="s">
        <v>1046</v>
      </c>
      <c r="E687" s="1107" t="s">
        <v>1047</v>
      </c>
      <c r="H687">
        <v>1</v>
      </c>
      <c r="I687" t="s">
        <v>1046</v>
      </c>
    </row>
    <row r="688" spans="1:9" ht="23.25" thickBot="1" x14ac:dyDescent="0.25">
      <c r="A688" s="1108">
        <v>501.03</v>
      </c>
      <c r="B688" s="1109" t="s">
        <v>2175</v>
      </c>
      <c r="C688" s="1110" t="s">
        <v>2176</v>
      </c>
      <c r="D688" s="1106" t="s">
        <v>1046</v>
      </c>
      <c r="E688" s="1107" t="s">
        <v>1047</v>
      </c>
      <c r="H688">
        <v>1</v>
      </c>
      <c r="I688" t="s">
        <v>1046</v>
      </c>
    </row>
    <row r="689" spans="1:9" ht="13.5" thickBot="1" x14ac:dyDescent="0.25">
      <c r="A689" s="1108">
        <v>501.04</v>
      </c>
      <c r="B689" s="1109" t="s">
        <v>2177</v>
      </c>
      <c r="C689" s="1110" t="s">
        <v>2178</v>
      </c>
      <c r="D689" s="1106" t="s">
        <v>1046</v>
      </c>
      <c r="E689" s="1107" t="s">
        <v>1047</v>
      </c>
      <c r="H689">
        <v>1</v>
      </c>
      <c r="I689" t="s">
        <v>1046</v>
      </c>
    </row>
    <row r="690" spans="1:9" ht="13.5" thickBot="1" x14ac:dyDescent="0.25">
      <c r="A690" s="1108">
        <v>504.01</v>
      </c>
      <c r="B690" s="1109" t="s">
        <v>2179</v>
      </c>
      <c r="C690" s="1110" t="s">
        <v>2180</v>
      </c>
      <c r="D690" s="1106" t="s">
        <v>1046</v>
      </c>
      <c r="E690" s="1107" t="s">
        <v>1047</v>
      </c>
      <c r="H690">
        <v>1</v>
      </c>
      <c r="I690" t="s">
        <v>1046</v>
      </c>
    </row>
    <row r="691" spans="1:9" ht="13.5" thickBot="1" x14ac:dyDescent="0.25">
      <c r="A691" s="1108">
        <v>504.02</v>
      </c>
      <c r="B691" s="1109" t="s">
        <v>2181</v>
      </c>
      <c r="C691" s="1110" t="s">
        <v>2182</v>
      </c>
      <c r="D691" s="1106" t="s">
        <v>1046</v>
      </c>
      <c r="E691" s="1107" t="s">
        <v>1047</v>
      </c>
      <c r="H691">
        <v>1</v>
      </c>
      <c r="I691" t="s">
        <v>1046</v>
      </c>
    </row>
    <row r="692" spans="1:9" ht="13.5" thickBot="1" x14ac:dyDescent="0.25">
      <c r="A692" s="1108">
        <v>504.03</v>
      </c>
      <c r="B692" s="1109" t="s">
        <v>2183</v>
      </c>
      <c r="C692" s="1110" t="s">
        <v>2184</v>
      </c>
      <c r="D692" s="1106" t="s">
        <v>1046</v>
      </c>
      <c r="E692" s="1107" t="s">
        <v>1047</v>
      </c>
      <c r="H692">
        <v>1</v>
      </c>
      <c r="I692" t="s">
        <v>1046</v>
      </c>
    </row>
    <row r="693" spans="1:9" s="1146" customFormat="1" ht="13.5" thickBot="1" x14ac:dyDescent="0.25">
      <c r="A693" s="1104" t="s">
        <v>2185</v>
      </c>
      <c r="B693" s="1104" t="s">
        <v>2186</v>
      </c>
      <c r="C693" s="1116" t="s">
        <v>2187</v>
      </c>
      <c r="D693" s="1106" t="s">
        <v>1046</v>
      </c>
      <c r="E693" s="1139" t="s">
        <v>1047</v>
      </c>
      <c r="F693" s="1149"/>
      <c r="H693" s="1146">
        <v>1</v>
      </c>
      <c r="I693" s="1146" t="s">
        <v>1046</v>
      </c>
    </row>
    <row r="694" spans="1:9" ht="13.5" thickBot="1" x14ac:dyDescent="0.25">
      <c r="A694" s="1108">
        <v>502.01</v>
      </c>
      <c r="B694" s="1109" t="s">
        <v>2188</v>
      </c>
      <c r="C694" s="1110" t="s">
        <v>2189</v>
      </c>
      <c r="D694" s="1106" t="s">
        <v>1046</v>
      </c>
      <c r="E694" s="1107" t="s">
        <v>1047</v>
      </c>
      <c r="H694">
        <v>1</v>
      </c>
      <c r="I694" t="s">
        <v>1046</v>
      </c>
    </row>
    <row r="695" spans="1:9" ht="13.5" thickBot="1" x14ac:dyDescent="0.25">
      <c r="A695" s="1108">
        <v>502.02</v>
      </c>
      <c r="B695" s="1109" t="s">
        <v>2190</v>
      </c>
      <c r="C695" s="1110" t="s">
        <v>2191</v>
      </c>
      <c r="D695" s="1106" t="s">
        <v>1046</v>
      </c>
      <c r="E695" s="1107" t="s">
        <v>1047</v>
      </c>
      <c r="H695">
        <v>1</v>
      </c>
      <c r="I695" t="s">
        <v>1046</v>
      </c>
    </row>
    <row r="696" spans="1:9" ht="13.5" thickBot="1" x14ac:dyDescent="0.25">
      <c r="A696" s="1108">
        <v>502.03</v>
      </c>
      <c r="B696" s="1109" t="s">
        <v>2192</v>
      </c>
      <c r="C696" s="1110" t="s">
        <v>2193</v>
      </c>
      <c r="D696" s="1106" t="s">
        <v>1046</v>
      </c>
      <c r="E696" s="1107" t="s">
        <v>1047</v>
      </c>
      <c r="H696">
        <v>1</v>
      </c>
      <c r="I696" t="s">
        <v>1046</v>
      </c>
    </row>
    <row r="697" spans="1:9" ht="13.5" thickBot="1" x14ac:dyDescent="0.25">
      <c r="A697" s="1108">
        <v>502.04</v>
      </c>
      <c r="B697" s="1109" t="s">
        <v>2194</v>
      </c>
      <c r="C697" s="1110" t="s">
        <v>2195</v>
      </c>
      <c r="D697" s="1106" t="s">
        <v>1046</v>
      </c>
      <c r="E697" s="1107" t="s">
        <v>1047</v>
      </c>
      <c r="H697">
        <v>1</v>
      </c>
      <c r="I697" t="s">
        <v>1046</v>
      </c>
    </row>
    <row r="698" spans="1:9" s="1146" customFormat="1" ht="13.5" thickBot="1" x14ac:dyDescent="0.25">
      <c r="A698" s="1104" t="s">
        <v>2196</v>
      </c>
      <c r="B698" s="1104" t="s">
        <v>2197</v>
      </c>
      <c r="C698" s="1116" t="s">
        <v>2198</v>
      </c>
      <c r="D698" s="1106" t="s">
        <v>1046</v>
      </c>
      <c r="E698" s="1139" t="s">
        <v>1210</v>
      </c>
      <c r="F698" s="1149"/>
      <c r="H698" s="1146">
        <v>1</v>
      </c>
      <c r="I698" s="1146" t="s">
        <v>1046</v>
      </c>
    </row>
    <row r="699" spans="1:9" ht="13.5" thickBot="1" x14ac:dyDescent="0.25">
      <c r="A699" s="1108">
        <v>503.01</v>
      </c>
      <c r="B699" s="1109" t="s">
        <v>2199</v>
      </c>
      <c r="C699" s="1110" t="s">
        <v>2200</v>
      </c>
      <c r="D699" s="1106" t="s">
        <v>1046</v>
      </c>
      <c r="E699" s="1107" t="s">
        <v>1210</v>
      </c>
      <c r="H699">
        <v>1</v>
      </c>
      <c r="I699" t="s">
        <v>1046</v>
      </c>
    </row>
    <row r="700" spans="1:9" ht="13.5" thickBot="1" x14ac:dyDescent="0.25">
      <c r="A700" s="1108">
        <v>503.01</v>
      </c>
      <c r="B700" s="1109" t="s">
        <v>2201</v>
      </c>
      <c r="C700" s="1110" t="s">
        <v>2202</v>
      </c>
      <c r="D700" s="1106" t="s">
        <v>1046</v>
      </c>
      <c r="E700" s="1107" t="s">
        <v>1210</v>
      </c>
      <c r="H700">
        <v>1</v>
      </c>
      <c r="I700" t="s">
        <v>1046</v>
      </c>
    </row>
    <row r="701" spans="1:9" ht="13.5" thickBot="1" x14ac:dyDescent="0.25">
      <c r="A701" s="1108">
        <v>503.01</v>
      </c>
      <c r="B701" s="1109" t="s">
        <v>2203</v>
      </c>
      <c r="C701" s="1110" t="s">
        <v>2204</v>
      </c>
      <c r="D701" s="1106" t="s">
        <v>1046</v>
      </c>
      <c r="E701" s="1107" t="s">
        <v>1210</v>
      </c>
      <c r="H701">
        <v>1</v>
      </c>
      <c r="I701" t="s">
        <v>1046</v>
      </c>
    </row>
    <row r="702" spans="1:9" ht="13.5" thickBot="1" x14ac:dyDescent="0.25">
      <c r="A702" s="1108">
        <v>503.01</v>
      </c>
      <c r="B702" s="1109" t="s">
        <v>2205</v>
      </c>
      <c r="C702" s="1110" t="s">
        <v>2206</v>
      </c>
      <c r="D702" s="1106" t="s">
        <v>1046</v>
      </c>
      <c r="E702" s="1107" t="s">
        <v>1210</v>
      </c>
      <c r="H702">
        <v>1</v>
      </c>
      <c r="I702" t="s">
        <v>1046</v>
      </c>
    </row>
    <row r="703" spans="1:9" s="1153" customFormat="1" ht="13.5" thickBot="1" x14ac:dyDescent="0.25">
      <c r="A703" s="1150">
        <v>604</v>
      </c>
      <c r="B703" s="1112" t="s">
        <v>2207</v>
      </c>
      <c r="C703" s="1151" t="s">
        <v>2208</v>
      </c>
      <c r="D703" s="1152" t="s">
        <v>1989</v>
      </c>
      <c r="E703" s="1114" t="s">
        <v>1047</v>
      </c>
      <c r="F703" s="1115"/>
    </row>
    <row r="704" spans="1:9" ht="13.5" thickBot="1" x14ac:dyDescent="0.25">
      <c r="A704" s="1108">
        <v>604.01</v>
      </c>
      <c r="B704" s="1109" t="s">
        <v>2209</v>
      </c>
      <c r="C704" s="1110" t="s">
        <v>2210</v>
      </c>
      <c r="D704" s="1106" t="s">
        <v>1989</v>
      </c>
      <c r="E704" s="1107" t="s">
        <v>1047</v>
      </c>
      <c r="H704">
        <v>1</v>
      </c>
      <c r="I704" t="s">
        <v>1046</v>
      </c>
    </row>
    <row r="705" spans="1:9" ht="13.5" thickBot="1" x14ac:dyDescent="0.25">
      <c r="A705" s="1108">
        <v>604.02</v>
      </c>
      <c r="B705" s="1109" t="s">
        <v>2211</v>
      </c>
      <c r="C705" s="1110" t="s">
        <v>2212</v>
      </c>
      <c r="D705" s="1106" t="s">
        <v>1989</v>
      </c>
      <c r="E705" s="1107" t="s">
        <v>1047</v>
      </c>
      <c r="H705">
        <v>1</v>
      </c>
      <c r="I705" t="s">
        <v>1046</v>
      </c>
    </row>
    <row r="706" spans="1:9" ht="13.5" thickBot="1" x14ac:dyDescent="0.25">
      <c r="A706" s="1108">
        <v>604.03</v>
      </c>
      <c r="B706" s="1109" t="s">
        <v>2213</v>
      </c>
      <c r="C706" s="1110" t="s">
        <v>2214</v>
      </c>
      <c r="D706" s="1106" t="s">
        <v>1989</v>
      </c>
      <c r="E706" s="1107" t="s">
        <v>1047</v>
      </c>
      <c r="H706">
        <v>1</v>
      </c>
      <c r="I706" t="s">
        <v>1046</v>
      </c>
    </row>
    <row r="707" spans="1:9" ht="13.5" thickBot="1" x14ac:dyDescent="0.25">
      <c r="A707" s="1136">
        <v>604.04</v>
      </c>
      <c r="B707" s="1109" t="s">
        <v>2215</v>
      </c>
      <c r="C707" s="1110" t="s">
        <v>2216</v>
      </c>
      <c r="D707" s="1106" t="s">
        <v>1989</v>
      </c>
      <c r="E707" s="1107" t="s">
        <v>1047</v>
      </c>
      <c r="H707">
        <v>1</v>
      </c>
      <c r="I707" t="s">
        <v>1046</v>
      </c>
    </row>
    <row r="708" spans="1:9" ht="13.5" thickBot="1" x14ac:dyDescent="0.25">
      <c r="A708" s="1136">
        <v>604.04999999999995</v>
      </c>
      <c r="B708" s="1109" t="s">
        <v>2217</v>
      </c>
      <c r="C708" s="1110" t="s">
        <v>2218</v>
      </c>
      <c r="D708" s="1106" t="s">
        <v>1989</v>
      </c>
      <c r="E708" s="1107" t="s">
        <v>1047</v>
      </c>
      <c r="H708">
        <v>1</v>
      </c>
      <c r="I708" t="s">
        <v>1046</v>
      </c>
    </row>
    <row r="709" spans="1:9" ht="13.5" thickBot="1" x14ac:dyDescent="0.25">
      <c r="A709" s="1136">
        <v>604.05999999999995</v>
      </c>
      <c r="B709" s="1109" t="s">
        <v>2219</v>
      </c>
      <c r="C709" s="1110" t="s">
        <v>2220</v>
      </c>
      <c r="D709" s="1106" t="s">
        <v>1989</v>
      </c>
      <c r="E709" s="1107" t="s">
        <v>1047</v>
      </c>
      <c r="H709">
        <v>1</v>
      </c>
      <c r="I709" t="s">
        <v>1046</v>
      </c>
    </row>
    <row r="710" spans="1:9" ht="13.5" thickBot="1" x14ac:dyDescent="0.25">
      <c r="A710" s="1136">
        <v>604.07000000000005</v>
      </c>
      <c r="B710" s="1109" t="s">
        <v>2221</v>
      </c>
      <c r="C710" s="1110" t="s">
        <v>2222</v>
      </c>
      <c r="D710" s="1106" t="s">
        <v>1989</v>
      </c>
      <c r="E710" s="1107" t="s">
        <v>1047</v>
      </c>
      <c r="H710">
        <v>1</v>
      </c>
      <c r="I710" t="s">
        <v>1046</v>
      </c>
    </row>
    <row r="711" spans="1:9" ht="13.5" thickBot="1" x14ac:dyDescent="0.25">
      <c r="A711" s="1108">
        <v>604.08000000000004</v>
      </c>
      <c r="B711" s="1109" t="s">
        <v>2223</v>
      </c>
      <c r="C711" s="1110" t="s">
        <v>2224</v>
      </c>
      <c r="D711" s="1106" t="s">
        <v>1989</v>
      </c>
      <c r="E711" s="1107" t="s">
        <v>1047</v>
      </c>
      <c r="H711">
        <v>1</v>
      </c>
      <c r="I711" t="s">
        <v>1046</v>
      </c>
    </row>
    <row r="712" spans="1:9" ht="13.5" thickBot="1" x14ac:dyDescent="0.25">
      <c r="A712" s="1108">
        <v>604.09</v>
      </c>
      <c r="B712" s="1109" t="s">
        <v>2225</v>
      </c>
      <c r="C712" s="1110" t="s">
        <v>2226</v>
      </c>
      <c r="D712" s="1106" t="s">
        <v>1989</v>
      </c>
      <c r="E712" s="1107" t="s">
        <v>1047</v>
      </c>
      <c r="H712">
        <v>1</v>
      </c>
      <c r="I712" t="s">
        <v>1046</v>
      </c>
    </row>
    <row r="713" spans="1:9" ht="13.5" thickBot="1" x14ac:dyDescent="0.25">
      <c r="A713" s="1108">
        <v>604.1</v>
      </c>
      <c r="B713" s="1109" t="s">
        <v>2227</v>
      </c>
      <c r="C713" s="1110" t="s">
        <v>2228</v>
      </c>
      <c r="D713" s="1106" t="s">
        <v>1989</v>
      </c>
      <c r="E713" s="1107" t="s">
        <v>1047</v>
      </c>
      <c r="H713">
        <v>1</v>
      </c>
      <c r="I713" t="s">
        <v>1046</v>
      </c>
    </row>
    <row r="714" spans="1:9" ht="13.5" thickBot="1" x14ac:dyDescent="0.25">
      <c r="A714" s="1108">
        <v>604.11</v>
      </c>
      <c r="B714" s="1109" t="s">
        <v>2229</v>
      </c>
      <c r="C714" s="1110" t="s">
        <v>2230</v>
      </c>
      <c r="D714" s="1106" t="s">
        <v>1989</v>
      </c>
      <c r="E714" s="1107" t="s">
        <v>1047</v>
      </c>
      <c r="H714">
        <v>1</v>
      </c>
      <c r="I714" t="s">
        <v>1046</v>
      </c>
    </row>
    <row r="715" spans="1:9" ht="13.5" thickBot="1" x14ac:dyDescent="0.25">
      <c r="A715" s="1108">
        <v>604.12</v>
      </c>
      <c r="B715" s="1109" t="s">
        <v>2231</v>
      </c>
      <c r="C715" s="1110" t="s">
        <v>2232</v>
      </c>
      <c r="D715" s="1106" t="s">
        <v>1989</v>
      </c>
      <c r="E715" s="1107" t="s">
        <v>1047</v>
      </c>
      <c r="H715">
        <v>1</v>
      </c>
      <c r="I715" t="s">
        <v>1046</v>
      </c>
    </row>
    <row r="716" spans="1:9" ht="13.5" thickBot="1" x14ac:dyDescent="0.25">
      <c r="A716" s="1108">
        <v>604.13</v>
      </c>
      <c r="B716" s="1109" t="s">
        <v>2233</v>
      </c>
      <c r="C716" s="1110" t="s">
        <v>2234</v>
      </c>
      <c r="D716" s="1106" t="s">
        <v>1989</v>
      </c>
      <c r="E716" s="1107" t="s">
        <v>1047</v>
      </c>
      <c r="H716">
        <v>1</v>
      </c>
      <c r="I716" t="s">
        <v>1046</v>
      </c>
    </row>
    <row r="717" spans="1:9" ht="13.5" thickBot="1" x14ac:dyDescent="0.25">
      <c r="A717" s="1108">
        <v>604.14</v>
      </c>
      <c r="B717" s="1109" t="s">
        <v>2235</v>
      </c>
      <c r="C717" s="1110" t="s">
        <v>2236</v>
      </c>
      <c r="D717" s="1106" t="s">
        <v>1989</v>
      </c>
      <c r="E717" s="1107" t="s">
        <v>1047</v>
      </c>
      <c r="H717">
        <v>1</v>
      </c>
      <c r="I717" t="s">
        <v>1046</v>
      </c>
    </row>
    <row r="718" spans="1:9" ht="13.5" thickBot="1" x14ac:dyDescent="0.25">
      <c r="A718" s="1108">
        <v>604.15</v>
      </c>
      <c r="B718" s="1109" t="s">
        <v>2237</v>
      </c>
      <c r="C718" s="1110" t="s">
        <v>2238</v>
      </c>
      <c r="D718" s="1106" t="s">
        <v>1989</v>
      </c>
      <c r="E718" s="1107" t="s">
        <v>1047</v>
      </c>
      <c r="H718">
        <v>1</v>
      </c>
      <c r="I718" t="s">
        <v>1046</v>
      </c>
    </row>
    <row r="719" spans="1:9" ht="13.5" thickBot="1" x14ac:dyDescent="0.25">
      <c r="A719" s="1108">
        <v>604.16</v>
      </c>
      <c r="B719" s="1109" t="s">
        <v>2239</v>
      </c>
      <c r="C719" s="1110" t="s">
        <v>2240</v>
      </c>
      <c r="D719" s="1106" t="s">
        <v>1989</v>
      </c>
      <c r="E719" s="1107" t="s">
        <v>1047</v>
      </c>
      <c r="H719">
        <v>1</v>
      </c>
      <c r="I719" t="s">
        <v>1046</v>
      </c>
    </row>
    <row r="720" spans="1:9" ht="13.5" thickBot="1" x14ac:dyDescent="0.25">
      <c r="A720" s="1108">
        <v>604.16999999999996</v>
      </c>
      <c r="B720" s="1109" t="s">
        <v>2241</v>
      </c>
      <c r="C720" s="1110" t="s">
        <v>2242</v>
      </c>
      <c r="D720" s="1106" t="s">
        <v>1989</v>
      </c>
      <c r="E720" s="1107" t="s">
        <v>1047</v>
      </c>
      <c r="H720">
        <v>1</v>
      </c>
      <c r="I720" t="s">
        <v>1046</v>
      </c>
    </row>
    <row r="721" spans="1:9" ht="13.5" thickBot="1" x14ac:dyDescent="0.25">
      <c r="A721" s="1108">
        <v>604.17999999999995</v>
      </c>
      <c r="B721" s="1109" t="s">
        <v>2243</v>
      </c>
      <c r="C721" s="1110" t="s">
        <v>2244</v>
      </c>
      <c r="D721" s="1106" t="s">
        <v>1989</v>
      </c>
      <c r="E721" s="1107" t="s">
        <v>1047</v>
      </c>
      <c r="H721">
        <v>1</v>
      </c>
      <c r="I721" t="s">
        <v>1046</v>
      </c>
    </row>
    <row r="722" spans="1:9" ht="13.5" thickBot="1" x14ac:dyDescent="0.25">
      <c r="A722" s="1108">
        <v>604.19000000000005</v>
      </c>
      <c r="B722" s="1109" t="s">
        <v>2245</v>
      </c>
      <c r="C722" s="1110" t="s">
        <v>2246</v>
      </c>
      <c r="D722" s="1106" t="s">
        <v>1989</v>
      </c>
      <c r="E722" s="1107" t="s">
        <v>1047</v>
      </c>
      <c r="H722">
        <v>1</v>
      </c>
      <c r="I722" t="s">
        <v>1046</v>
      </c>
    </row>
    <row r="723" spans="1:9" ht="13.5" thickBot="1" x14ac:dyDescent="0.25">
      <c r="A723" s="1108">
        <v>604.20000000000005</v>
      </c>
      <c r="B723" s="1109" t="s">
        <v>2247</v>
      </c>
      <c r="C723" s="1110" t="s">
        <v>2248</v>
      </c>
      <c r="D723" s="1106" t="s">
        <v>1989</v>
      </c>
      <c r="E723" s="1107" t="s">
        <v>1047</v>
      </c>
      <c r="F723" s="1099" t="s">
        <v>2249</v>
      </c>
      <c r="H723">
        <v>1</v>
      </c>
      <c r="I723" t="s">
        <v>1046</v>
      </c>
    </row>
    <row r="724" spans="1:9" ht="13.5" thickBot="1" x14ac:dyDescent="0.25">
      <c r="A724" s="1108">
        <v>604.21</v>
      </c>
      <c r="B724" s="1109" t="s">
        <v>2250</v>
      </c>
      <c r="C724" s="1110" t="s">
        <v>2251</v>
      </c>
      <c r="D724" s="1106" t="s">
        <v>1989</v>
      </c>
      <c r="E724" s="1107" t="s">
        <v>1047</v>
      </c>
      <c r="F724" s="1099" t="s">
        <v>2249</v>
      </c>
      <c r="H724">
        <v>1</v>
      </c>
      <c r="I724" t="s">
        <v>1046</v>
      </c>
    </row>
    <row r="725" spans="1:9" ht="13.5" thickBot="1" x14ac:dyDescent="0.25">
      <c r="A725" s="1108">
        <v>604.22</v>
      </c>
      <c r="B725" s="1109" t="s">
        <v>2252</v>
      </c>
      <c r="C725" s="1110" t="s">
        <v>2253</v>
      </c>
      <c r="D725" s="1106" t="s">
        <v>1989</v>
      </c>
      <c r="E725" s="1107" t="s">
        <v>1047</v>
      </c>
      <c r="H725">
        <v>1</v>
      </c>
      <c r="I725" t="s">
        <v>1046</v>
      </c>
    </row>
    <row r="726" spans="1:9" ht="13.5" thickBot="1" x14ac:dyDescent="0.25">
      <c r="A726" s="1108">
        <v>604.23</v>
      </c>
      <c r="B726" s="1109" t="s">
        <v>2254</v>
      </c>
      <c r="C726" s="1110" t="s">
        <v>2255</v>
      </c>
      <c r="D726" s="1106" t="s">
        <v>1989</v>
      </c>
      <c r="E726" s="1107" t="s">
        <v>1047</v>
      </c>
      <c r="H726">
        <v>1</v>
      </c>
      <c r="I726" t="s">
        <v>1046</v>
      </c>
    </row>
    <row r="727" spans="1:9" ht="13.5" thickBot="1" x14ac:dyDescent="0.25">
      <c r="A727" s="1108">
        <v>604.24</v>
      </c>
      <c r="B727" s="1109" t="s">
        <v>2256</v>
      </c>
      <c r="C727" s="1110" t="s">
        <v>2257</v>
      </c>
      <c r="D727" s="1106" t="s">
        <v>1989</v>
      </c>
      <c r="E727" s="1107" t="s">
        <v>1047</v>
      </c>
      <c r="F727" s="1099" t="s">
        <v>2249</v>
      </c>
      <c r="H727">
        <v>1</v>
      </c>
      <c r="I727" t="s">
        <v>1046</v>
      </c>
    </row>
    <row r="728" spans="1:9" ht="13.5" thickBot="1" x14ac:dyDescent="0.25">
      <c r="A728" s="1108">
        <v>604.25</v>
      </c>
      <c r="B728" s="1109" t="s">
        <v>2258</v>
      </c>
      <c r="C728" s="1110" t="s">
        <v>2259</v>
      </c>
      <c r="D728" s="1106" t="s">
        <v>1989</v>
      </c>
      <c r="E728" s="1107" t="s">
        <v>1047</v>
      </c>
      <c r="H728">
        <v>1</v>
      </c>
      <c r="I728" t="s">
        <v>1046</v>
      </c>
    </row>
    <row r="729" spans="1:9" ht="13.5" thickBot="1" x14ac:dyDescent="0.25">
      <c r="A729" s="1108">
        <v>604.26</v>
      </c>
      <c r="B729" s="1109" t="s">
        <v>2260</v>
      </c>
      <c r="C729" s="1110" t="s">
        <v>2261</v>
      </c>
      <c r="D729" s="1106" t="s">
        <v>1989</v>
      </c>
      <c r="E729" s="1107" t="s">
        <v>1047</v>
      </c>
      <c r="F729" s="1099" t="s">
        <v>2249</v>
      </c>
      <c r="H729">
        <v>1</v>
      </c>
      <c r="I729" t="s">
        <v>1046</v>
      </c>
    </row>
    <row r="730" spans="1:9" ht="13.5" thickBot="1" x14ac:dyDescent="0.25">
      <c r="A730" s="1108">
        <v>604.27</v>
      </c>
      <c r="B730" s="1109" t="s">
        <v>2262</v>
      </c>
      <c r="C730" s="1110" t="s">
        <v>2263</v>
      </c>
      <c r="D730" s="1106" t="s">
        <v>1989</v>
      </c>
      <c r="E730" s="1107" t="s">
        <v>1047</v>
      </c>
      <c r="H730">
        <v>1</v>
      </c>
      <c r="I730" t="s">
        <v>1046</v>
      </c>
    </row>
    <row r="731" spans="1:9" ht="13.5" thickBot="1" x14ac:dyDescent="0.25">
      <c r="A731" s="1108">
        <v>604.28</v>
      </c>
      <c r="B731" s="1109" t="s">
        <v>2264</v>
      </c>
      <c r="C731" s="1110" t="s">
        <v>2265</v>
      </c>
      <c r="D731" s="1106" t="s">
        <v>1989</v>
      </c>
      <c r="E731" s="1107" t="s">
        <v>1047</v>
      </c>
      <c r="H731">
        <v>1</v>
      </c>
      <c r="I731" t="s">
        <v>1046</v>
      </c>
    </row>
    <row r="732" spans="1:9" ht="13.5" thickBot="1" x14ac:dyDescent="0.25">
      <c r="A732" s="1108">
        <v>604.29</v>
      </c>
      <c r="B732" s="1109" t="s">
        <v>2266</v>
      </c>
      <c r="C732" s="1110" t="s">
        <v>2267</v>
      </c>
      <c r="D732" s="1106" t="s">
        <v>1989</v>
      </c>
      <c r="E732" s="1107" t="s">
        <v>1047</v>
      </c>
      <c r="H732">
        <v>1</v>
      </c>
      <c r="I732" t="s">
        <v>1046</v>
      </c>
    </row>
    <row r="733" spans="1:9" ht="13.5" thickBot="1" x14ac:dyDescent="0.25">
      <c r="A733" s="1108">
        <v>604.29999999999995</v>
      </c>
      <c r="B733" s="1109" t="s">
        <v>2268</v>
      </c>
      <c r="C733" s="1110" t="s">
        <v>2269</v>
      </c>
      <c r="D733" s="1106" t="s">
        <v>1989</v>
      </c>
      <c r="E733" s="1107" t="s">
        <v>1047</v>
      </c>
      <c r="H733">
        <v>1</v>
      </c>
      <c r="I733" t="s">
        <v>1046</v>
      </c>
    </row>
    <row r="734" spans="1:9" ht="13.5" thickBot="1" x14ac:dyDescent="0.25">
      <c r="A734" s="1108">
        <v>604.30999999999995</v>
      </c>
      <c r="B734" s="1109" t="s">
        <v>2270</v>
      </c>
      <c r="C734" s="1110" t="s">
        <v>2271</v>
      </c>
      <c r="D734" s="1106" t="s">
        <v>1989</v>
      </c>
      <c r="E734" s="1107" t="s">
        <v>1047</v>
      </c>
      <c r="H734">
        <v>1</v>
      </c>
      <c r="I734" t="s">
        <v>1046</v>
      </c>
    </row>
    <row r="735" spans="1:9" ht="13.5" thickBot="1" x14ac:dyDescent="0.25">
      <c r="A735" s="1108">
        <v>604.30999999999995</v>
      </c>
      <c r="B735" s="1109" t="s">
        <v>2272</v>
      </c>
      <c r="C735" s="1110" t="s">
        <v>2273</v>
      </c>
      <c r="D735" s="1106" t="s">
        <v>1989</v>
      </c>
      <c r="E735" s="1107" t="s">
        <v>1047</v>
      </c>
      <c r="H735">
        <v>1</v>
      </c>
      <c r="I735" t="s">
        <v>1046</v>
      </c>
    </row>
    <row r="736" spans="1:9" ht="13.5" thickBot="1" x14ac:dyDescent="0.25">
      <c r="A736" s="1108">
        <v>604.30999999999995</v>
      </c>
      <c r="B736" s="1109" t="s">
        <v>2274</v>
      </c>
      <c r="C736" s="1110" t="s">
        <v>2275</v>
      </c>
      <c r="D736" s="1106" t="s">
        <v>1989</v>
      </c>
      <c r="E736" s="1107" t="s">
        <v>1047</v>
      </c>
      <c r="H736">
        <v>1</v>
      </c>
      <c r="I736" t="s">
        <v>1046</v>
      </c>
    </row>
    <row r="737" spans="1:9" ht="13.5" thickBot="1" x14ac:dyDescent="0.25">
      <c r="A737" s="1108">
        <v>604.30999999999995</v>
      </c>
      <c r="B737" s="1109" t="s">
        <v>2276</v>
      </c>
      <c r="C737" s="1110" t="s">
        <v>2277</v>
      </c>
      <c r="D737" s="1106" t="s">
        <v>1989</v>
      </c>
      <c r="E737" s="1107" t="s">
        <v>1047</v>
      </c>
      <c r="H737">
        <v>1</v>
      </c>
      <c r="I737" t="s">
        <v>1046</v>
      </c>
    </row>
    <row r="738" spans="1:9" ht="13.5" thickBot="1" x14ac:dyDescent="0.25">
      <c r="A738" s="1108">
        <v>604.32000000000005</v>
      </c>
      <c r="B738" s="1109" t="s">
        <v>2278</v>
      </c>
      <c r="C738" s="1110" t="s">
        <v>2279</v>
      </c>
      <c r="D738" s="1106" t="s">
        <v>1989</v>
      </c>
      <c r="E738" s="1107" t="s">
        <v>1047</v>
      </c>
      <c r="H738">
        <v>1</v>
      </c>
      <c r="I738" t="s">
        <v>1046</v>
      </c>
    </row>
    <row r="739" spans="1:9" ht="13.5" thickBot="1" x14ac:dyDescent="0.25">
      <c r="A739" s="1108">
        <v>604.33000000000004</v>
      </c>
      <c r="B739" s="1109" t="s">
        <v>2280</v>
      </c>
      <c r="C739" s="1110" t="s">
        <v>2281</v>
      </c>
      <c r="D739" s="1106" t="s">
        <v>1989</v>
      </c>
      <c r="E739" s="1107" t="s">
        <v>1047</v>
      </c>
      <c r="H739">
        <v>1</v>
      </c>
      <c r="I739" t="s">
        <v>1046</v>
      </c>
    </row>
    <row r="740" spans="1:9" ht="13.5" thickBot="1" x14ac:dyDescent="0.25">
      <c r="A740" s="1108">
        <v>604.34</v>
      </c>
      <c r="B740" s="1109" t="s">
        <v>2282</v>
      </c>
      <c r="C740" s="1110" t="s">
        <v>2283</v>
      </c>
      <c r="D740" s="1106" t="s">
        <v>1989</v>
      </c>
      <c r="E740" s="1107" t="s">
        <v>1047</v>
      </c>
      <c r="H740">
        <v>1</v>
      </c>
      <c r="I740" t="s">
        <v>1046</v>
      </c>
    </row>
    <row r="741" spans="1:9" ht="13.5" thickBot="1" x14ac:dyDescent="0.25">
      <c r="A741" s="1108">
        <v>604.34</v>
      </c>
      <c r="B741" s="1131" t="s">
        <v>2284</v>
      </c>
      <c r="C741" s="1154" t="s">
        <v>2285</v>
      </c>
      <c r="D741" s="1106" t="s">
        <v>1989</v>
      </c>
      <c r="E741" s="1107" t="s">
        <v>1047</v>
      </c>
      <c r="H741">
        <v>1</v>
      </c>
      <c r="I741" t="s">
        <v>1046</v>
      </c>
    </row>
    <row r="742" spans="1:9" ht="13.5" thickBot="1" x14ac:dyDescent="0.25">
      <c r="A742" s="1108">
        <v>604.35</v>
      </c>
      <c r="B742" s="1109" t="s">
        <v>2286</v>
      </c>
      <c r="C742" s="1110" t="s">
        <v>2287</v>
      </c>
      <c r="D742" s="1106" t="s">
        <v>1989</v>
      </c>
      <c r="E742" s="1107" t="s">
        <v>1047</v>
      </c>
      <c r="H742">
        <v>1</v>
      </c>
      <c r="I742" t="s">
        <v>1046</v>
      </c>
    </row>
    <row r="743" spans="1:9" ht="13.5" thickBot="1" x14ac:dyDescent="0.25">
      <c r="A743" s="1108">
        <v>604.35</v>
      </c>
      <c r="B743" s="1109" t="s">
        <v>2288</v>
      </c>
      <c r="C743" s="1154" t="s">
        <v>2289</v>
      </c>
      <c r="D743" s="1106" t="s">
        <v>1989</v>
      </c>
      <c r="E743" s="1107" t="s">
        <v>1047</v>
      </c>
      <c r="H743">
        <v>1</v>
      </c>
      <c r="I743" t="s">
        <v>1046</v>
      </c>
    </row>
    <row r="744" spans="1:9" ht="13.5" thickBot="1" x14ac:dyDescent="0.25">
      <c r="A744" s="1108">
        <v>604.36</v>
      </c>
      <c r="B744" s="1109" t="s">
        <v>2290</v>
      </c>
      <c r="C744" s="1110" t="s">
        <v>2291</v>
      </c>
      <c r="D744" s="1106" t="s">
        <v>1989</v>
      </c>
      <c r="E744" s="1107" t="s">
        <v>1047</v>
      </c>
      <c r="H744">
        <v>1</v>
      </c>
      <c r="I744" t="s">
        <v>1046</v>
      </c>
    </row>
    <row r="745" spans="1:9" ht="13.5" thickBot="1" x14ac:dyDescent="0.25">
      <c r="A745" s="1108">
        <v>604.36</v>
      </c>
      <c r="B745" s="1109" t="s">
        <v>2292</v>
      </c>
      <c r="C745" s="1154" t="s">
        <v>2293</v>
      </c>
      <c r="D745" s="1106" t="s">
        <v>1989</v>
      </c>
      <c r="E745" s="1107" t="s">
        <v>1047</v>
      </c>
      <c r="H745">
        <v>1</v>
      </c>
      <c r="I745" t="s">
        <v>1046</v>
      </c>
    </row>
    <row r="746" spans="1:9" ht="13.5" thickBot="1" x14ac:dyDescent="0.25">
      <c r="A746" s="1108">
        <v>604.37</v>
      </c>
      <c r="B746" s="1109" t="s">
        <v>2294</v>
      </c>
      <c r="C746" s="1110" t="s">
        <v>2295</v>
      </c>
      <c r="D746" s="1106" t="s">
        <v>1989</v>
      </c>
      <c r="E746" s="1107" t="s">
        <v>1047</v>
      </c>
      <c r="H746">
        <v>1</v>
      </c>
      <c r="I746" t="s">
        <v>1046</v>
      </c>
    </row>
    <row r="747" spans="1:9" ht="13.5" thickBot="1" x14ac:dyDescent="0.25">
      <c r="A747" s="1108">
        <v>604.37</v>
      </c>
      <c r="B747" s="1109" t="s">
        <v>2296</v>
      </c>
      <c r="C747" s="1154" t="s">
        <v>2297</v>
      </c>
      <c r="D747" s="1106" t="s">
        <v>1989</v>
      </c>
      <c r="E747" s="1107" t="s">
        <v>1047</v>
      </c>
      <c r="H747">
        <v>1</v>
      </c>
      <c r="I747" t="s">
        <v>1046</v>
      </c>
    </row>
    <row r="748" spans="1:9" ht="13.5" thickBot="1" x14ac:dyDescent="0.25">
      <c r="A748" s="1108">
        <v>604.38</v>
      </c>
      <c r="B748" s="1109" t="s">
        <v>2298</v>
      </c>
      <c r="C748" s="1110" t="s">
        <v>2299</v>
      </c>
      <c r="D748" s="1106" t="s">
        <v>1989</v>
      </c>
      <c r="E748" s="1107" t="s">
        <v>1047</v>
      </c>
      <c r="H748">
        <v>1</v>
      </c>
      <c r="I748" t="s">
        <v>1046</v>
      </c>
    </row>
    <row r="749" spans="1:9" ht="13.5" thickBot="1" x14ac:dyDescent="0.25">
      <c r="A749" s="1108">
        <v>604.38</v>
      </c>
      <c r="B749" s="1109" t="s">
        <v>2300</v>
      </c>
      <c r="C749" s="1154" t="s">
        <v>2301</v>
      </c>
      <c r="D749" s="1106" t="s">
        <v>1989</v>
      </c>
      <c r="E749" s="1107" t="s">
        <v>1047</v>
      </c>
      <c r="H749">
        <v>1</v>
      </c>
      <c r="I749" t="s">
        <v>1046</v>
      </c>
    </row>
    <row r="750" spans="1:9" ht="13.5" thickBot="1" x14ac:dyDescent="0.25">
      <c r="A750" s="1108">
        <v>604.39</v>
      </c>
      <c r="B750" s="1109" t="s">
        <v>2302</v>
      </c>
      <c r="C750" s="1110" t="s">
        <v>2303</v>
      </c>
      <c r="D750" s="1106" t="s">
        <v>1989</v>
      </c>
      <c r="E750" s="1107" t="s">
        <v>1047</v>
      </c>
      <c r="H750">
        <v>1</v>
      </c>
      <c r="I750" t="s">
        <v>1046</v>
      </c>
    </row>
    <row r="751" spans="1:9" ht="13.5" thickBot="1" x14ac:dyDescent="0.25">
      <c r="A751" s="1108">
        <v>604.39</v>
      </c>
      <c r="B751" s="1109" t="s">
        <v>2304</v>
      </c>
      <c r="C751" s="1154" t="s">
        <v>2305</v>
      </c>
      <c r="D751" s="1106" t="s">
        <v>1989</v>
      </c>
      <c r="E751" s="1107" t="s">
        <v>1047</v>
      </c>
      <c r="H751">
        <v>1</v>
      </c>
      <c r="I751" t="s">
        <v>1046</v>
      </c>
    </row>
    <row r="752" spans="1:9" ht="13.5" thickBot="1" x14ac:dyDescent="0.25">
      <c r="A752" s="1108">
        <v>604.4</v>
      </c>
      <c r="B752" s="1109" t="s">
        <v>2306</v>
      </c>
      <c r="C752" s="1110" t="s">
        <v>2307</v>
      </c>
      <c r="D752" s="1106" t="s">
        <v>1989</v>
      </c>
      <c r="E752" s="1107" t="s">
        <v>1047</v>
      </c>
      <c r="H752">
        <v>1</v>
      </c>
      <c r="I752" t="s">
        <v>1046</v>
      </c>
    </row>
    <row r="753" spans="1:9" ht="13.5" thickBot="1" x14ac:dyDescent="0.25">
      <c r="A753" s="1108">
        <v>604.4</v>
      </c>
      <c r="B753" s="1109" t="s">
        <v>2308</v>
      </c>
      <c r="C753" s="1154" t="s">
        <v>2309</v>
      </c>
      <c r="D753" s="1106" t="s">
        <v>1989</v>
      </c>
      <c r="E753" s="1107" t="s">
        <v>1047</v>
      </c>
      <c r="H753">
        <v>1</v>
      </c>
      <c r="I753" t="s">
        <v>1046</v>
      </c>
    </row>
    <row r="754" spans="1:9" ht="13.5" thickBot="1" x14ac:dyDescent="0.25">
      <c r="A754" s="1108">
        <v>604.41</v>
      </c>
      <c r="B754" s="1109" t="s">
        <v>2310</v>
      </c>
      <c r="C754" s="1110" t="s">
        <v>2311</v>
      </c>
      <c r="D754" s="1106" t="s">
        <v>1989</v>
      </c>
      <c r="E754" s="1107" t="s">
        <v>1047</v>
      </c>
      <c r="H754">
        <v>1</v>
      </c>
      <c r="I754" t="s">
        <v>1046</v>
      </c>
    </row>
    <row r="755" spans="1:9" ht="13.5" thickBot="1" x14ac:dyDescent="0.25">
      <c r="A755" s="1108">
        <v>604.41</v>
      </c>
      <c r="B755" s="1109" t="s">
        <v>2312</v>
      </c>
      <c r="C755" s="1154" t="s">
        <v>2313</v>
      </c>
      <c r="D755" s="1106" t="s">
        <v>1989</v>
      </c>
      <c r="E755" s="1107" t="s">
        <v>1047</v>
      </c>
      <c r="H755">
        <v>1</v>
      </c>
      <c r="I755" t="s">
        <v>1046</v>
      </c>
    </row>
    <row r="756" spans="1:9" ht="13.5" thickBot="1" x14ac:dyDescent="0.25">
      <c r="A756" s="1108">
        <v>604.41999999999996</v>
      </c>
      <c r="B756" s="1109" t="s">
        <v>2314</v>
      </c>
      <c r="C756" s="1110" t="s">
        <v>2315</v>
      </c>
      <c r="D756" s="1106" t="s">
        <v>1989</v>
      </c>
      <c r="E756" s="1107" t="s">
        <v>1047</v>
      </c>
      <c r="H756">
        <v>1</v>
      </c>
      <c r="I756" t="s">
        <v>1046</v>
      </c>
    </row>
    <row r="757" spans="1:9" ht="13.5" thickBot="1" x14ac:dyDescent="0.25">
      <c r="A757" s="1108">
        <v>604.42999999999995</v>
      </c>
      <c r="B757" s="1109" t="s">
        <v>2316</v>
      </c>
      <c r="C757" s="1110" t="s">
        <v>2317</v>
      </c>
      <c r="D757" s="1106" t="s">
        <v>1989</v>
      </c>
      <c r="E757" s="1107" t="s">
        <v>1047</v>
      </c>
      <c r="H757">
        <v>1</v>
      </c>
      <c r="I757" t="s">
        <v>1046</v>
      </c>
    </row>
    <row r="758" spans="1:9" ht="13.5" thickBot="1" x14ac:dyDescent="0.25">
      <c r="A758" s="1108">
        <v>604.44000000000005</v>
      </c>
      <c r="B758" s="1109" t="s">
        <v>2318</v>
      </c>
      <c r="C758" s="1110" t="s">
        <v>2319</v>
      </c>
      <c r="D758" s="1106" t="s">
        <v>1989</v>
      </c>
      <c r="E758" s="1107" t="s">
        <v>1047</v>
      </c>
      <c r="H758">
        <v>1</v>
      </c>
      <c r="I758" t="s">
        <v>1046</v>
      </c>
    </row>
    <row r="759" spans="1:9" ht="13.5" thickBot="1" x14ac:dyDescent="0.25">
      <c r="A759" s="1108">
        <v>604.53</v>
      </c>
      <c r="B759" s="1109" t="s">
        <v>2320</v>
      </c>
      <c r="C759" s="1110" t="s">
        <v>2321</v>
      </c>
      <c r="D759" s="1106" t="s">
        <v>1989</v>
      </c>
      <c r="E759" s="1107" t="s">
        <v>1047</v>
      </c>
      <c r="H759">
        <v>1</v>
      </c>
      <c r="I759" t="s">
        <v>1046</v>
      </c>
    </row>
    <row r="760" spans="1:9" ht="13.5" thickBot="1" x14ac:dyDescent="0.25">
      <c r="A760" s="1108">
        <v>604.54</v>
      </c>
      <c r="B760" s="1109" t="s">
        <v>2322</v>
      </c>
      <c r="C760" s="1110" t="s">
        <v>2323</v>
      </c>
      <c r="D760" s="1106" t="s">
        <v>1989</v>
      </c>
      <c r="E760" s="1107" t="s">
        <v>1047</v>
      </c>
      <c r="H760">
        <v>1</v>
      </c>
      <c r="I760" t="s">
        <v>1046</v>
      </c>
    </row>
    <row r="761" spans="1:9" ht="13.5" thickBot="1" x14ac:dyDescent="0.25">
      <c r="A761" s="1108">
        <v>604.74</v>
      </c>
      <c r="B761" s="1109" t="s">
        <v>2324</v>
      </c>
      <c r="C761" s="1110" t="s">
        <v>2325</v>
      </c>
      <c r="D761" s="1106" t="s">
        <v>1989</v>
      </c>
      <c r="E761" s="1107" t="s">
        <v>1047</v>
      </c>
      <c r="H761">
        <v>1</v>
      </c>
      <c r="I761" t="s">
        <v>1046</v>
      </c>
    </row>
    <row r="762" spans="1:9" ht="13.5" thickBot="1" x14ac:dyDescent="0.25">
      <c r="A762" s="1108">
        <v>604.82000000000005</v>
      </c>
      <c r="B762" s="1109" t="s">
        <v>2326</v>
      </c>
      <c r="C762" s="1110" t="s">
        <v>2327</v>
      </c>
      <c r="D762" s="1106" t="s">
        <v>1989</v>
      </c>
      <c r="E762" s="1107" t="s">
        <v>1047</v>
      </c>
      <c r="H762">
        <v>1</v>
      </c>
      <c r="I762" t="s">
        <v>1046</v>
      </c>
    </row>
    <row r="763" spans="1:9" ht="13.5" thickBot="1" x14ac:dyDescent="0.25">
      <c r="A763" s="1108">
        <v>604.45000000000005</v>
      </c>
      <c r="B763" s="1109" t="s">
        <v>2328</v>
      </c>
      <c r="C763" s="1110" t="s">
        <v>2329</v>
      </c>
      <c r="D763" s="1106" t="s">
        <v>1989</v>
      </c>
      <c r="E763" s="1107" t="s">
        <v>1047</v>
      </c>
      <c r="H763">
        <v>1</v>
      </c>
      <c r="I763" t="s">
        <v>1046</v>
      </c>
    </row>
    <row r="764" spans="1:9" ht="13.5" thickBot="1" x14ac:dyDescent="0.25">
      <c r="A764" s="1108">
        <v>604.46</v>
      </c>
      <c r="B764" s="1109" t="s">
        <v>2330</v>
      </c>
      <c r="C764" s="1110" t="s">
        <v>2331</v>
      </c>
      <c r="D764" s="1106" t="s">
        <v>1989</v>
      </c>
      <c r="E764" s="1107" t="s">
        <v>1047</v>
      </c>
      <c r="H764">
        <v>1</v>
      </c>
      <c r="I764" t="s">
        <v>1046</v>
      </c>
    </row>
    <row r="765" spans="1:9" ht="13.5" thickBot="1" x14ac:dyDescent="0.25">
      <c r="A765" s="1108">
        <v>604.47</v>
      </c>
      <c r="B765" s="1109" t="s">
        <v>2332</v>
      </c>
      <c r="C765" s="1110" t="s">
        <v>2333</v>
      </c>
      <c r="D765" s="1106" t="s">
        <v>1989</v>
      </c>
      <c r="E765" s="1107" t="s">
        <v>1047</v>
      </c>
      <c r="H765">
        <v>1</v>
      </c>
      <c r="I765" t="s">
        <v>1046</v>
      </c>
    </row>
    <row r="766" spans="1:9" ht="13.5" thickBot="1" x14ac:dyDescent="0.25">
      <c r="A766" s="1108">
        <v>604.45000000000005</v>
      </c>
      <c r="B766" s="1109" t="s">
        <v>2334</v>
      </c>
      <c r="C766" s="1110" t="s">
        <v>2335</v>
      </c>
      <c r="D766" s="1106" t="s">
        <v>1989</v>
      </c>
      <c r="E766" s="1107" t="s">
        <v>1047</v>
      </c>
      <c r="H766">
        <v>1</v>
      </c>
      <c r="I766" t="s">
        <v>1046</v>
      </c>
    </row>
    <row r="767" spans="1:9" ht="13.5" thickBot="1" x14ac:dyDescent="0.25">
      <c r="A767" s="1108">
        <v>604.46</v>
      </c>
      <c r="B767" s="1109" t="s">
        <v>2336</v>
      </c>
      <c r="C767" s="1110" t="s">
        <v>2337</v>
      </c>
      <c r="D767" s="1106" t="s">
        <v>1989</v>
      </c>
      <c r="E767" s="1107" t="s">
        <v>1047</v>
      </c>
      <c r="H767">
        <v>1</v>
      </c>
      <c r="I767" t="s">
        <v>1046</v>
      </c>
    </row>
    <row r="768" spans="1:9" ht="13.5" thickBot="1" x14ac:dyDescent="0.25">
      <c r="A768" s="1108">
        <v>604.47</v>
      </c>
      <c r="B768" s="1109" t="s">
        <v>2338</v>
      </c>
      <c r="C768" s="1110" t="s">
        <v>2339</v>
      </c>
      <c r="D768" s="1106" t="s">
        <v>1989</v>
      </c>
      <c r="E768" s="1107" t="s">
        <v>1047</v>
      </c>
      <c r="H768">
        <v>1</v>
      </c>
      <c r="I768" t="s">
        <v>1046</v>
      </c>
    </row>
    <row r="769" spans="1:9" ht="13.5" thickBot="1" x14ac:dyDescent="0.25">
      <c r="A769" s="1108">
        <v>604.45000000000005</v>
      </c>
      <c r="B769" s="1109" t="s">
        <v>2340</v>
      </c>
      <c r="C769" s="1110" t="s">
        <v>2341</v>
      </c>
      <c r="D769" s="1106" t="s">
        <v>1989</v>
      </c>
      <c r="E769" s="1107" t="s">
        <v>1047</v>
      </c>
      <c r="H769">
        <v>1</v>
      </c>
      <c r="I769" t="s">
        <v>1046</v>
      </c>
    </row>
    <row r="770" spans="1:9" ht="13.5" thickBot="1" x14ac:dyDescent="0.25">
      <c r="A770" s="1108">
        <v>604.46</v>
      </c>
      <c r="B770" s="1109" t="s">
        <v>2342</v>
      </c>
      <c r="C770" s="1110" t="s">
        <v>2343</v>
      </c>
      <c r="D770" s="1106" t="s">
        <v>1989</v>
      </c>
      <c r="E770" s="1107" t="s">
        <v>1047</v>
      </c>
      <c r="H770">
        <v>1</v>
      </c>
      <c r="I770" t="s">
        <v>1046</v>
      </c>
    </row>
    <row r="771" spans="1:9" ht="13.5" thickBot="1" x14ac:dyDescent="0.25">
      <c r="A771" s="1108">
        <v>604.47</v>
      </c>
      <c r="B771" s="1109" t="s">
        <v>2344</v>
      </c>
      <c r="C771" s="1110" t="s">
        <v>2345</v>
      </c>
      <c r="D771" s="1106" t="s">
        <v>1989</v>
      </c>
      <c r="E771" s="1107" t="s">
        <v>1047</v>
      </c>
      <c r="H771">
        <v>1</v>
      </c>
      <c r="I771" t="s">
        <v>1046</v>
      </c>
    </row>
    <row r="772" spans="1:9" ht="13.5" thickBot="1" x14ac:dyDescent="0.25">
      <c r="A772" s="1108">
        <v>604.45000000000005</v>
      </c>
      <c r="B772" s="1109" t="s">
        <v>2346</v>
      </c>
      <c r="C772" s="1110" t="s">
        <v>2347</v>
      </c>
      <c r="D772" s="1106" t="s">
        <v>1989</v>
      </c>
      <c r="E772" s="1107" t="s">
        <v>1047</v>
      </c>
      <c r="H772">
        <v>1</v>
      </c>
      <c r="I772" t="s">
        <v>1046</v>
      </c>
    </row>
    <row r="773" spans="1:9" ht="13.5" thickBot="1" x14ac:dyDescent="0.25">
      <c r="A773" s="1108">
        <v>604.46</v>
      </c>
      <c r="B773" s="1109" t="s">
        <v>2348</v>
      </c>
      <c r="C773" s="1110" t="s">
        <v>2349</v>
      </c>
      <c r="D773" s="1106" t="s">
        <v>1989</v>
      </c>
      <c r="E773" s="1107" t="s">
        <v>1047</v>
      </c>
      <c r="H773">
        <v>1</v>
      </c>
      <c r="I773" t="s">
        <v>1046</v>
      </c>
    </row>
    <row r="774" spans="1:9" ht="13.5" thickBot="1" x14ac:dyDescent="0.25">
      <c r="A774" s="1108">
        <v>604.47</v>
      </c>
      <c r="B774" s="1109" t="s">
        <v>2350</v>
      </c>
      <c r="C774" s="1110" t="s">
        <v>2351</v>
      </c>
      <c r="D774" s="1106" t="s">
        <v>1989</v>
      </c>
      <c r="E774" s="1107" t="s">
        <v>1047</v>
      </c>
      <c r="H774">
        <v>1</v>
      </c>
      <c r="I774" t="s">
        <v>1046</v>
      </c>
    </row>
    <row r="775" spans="1:9" ht="13.5" thickBot="1" x14ac:dyDescent="0.25">
      <c r="A775" s="1108">
        <v>604.45000000000005</v>
      </c>
      <c r="B775" s="1109" t="s">
        <v>2352</v>
      </c>
      <c r="C775" s="1110" t="s">
        <v>2353</v>
      </c>
      <c r="D775" s="1106" t="s">
        <v>1989</v>
      </c>
      <c r="E775" s="1107" t="s">
        <v>1047</v>
      </c>
      <c r="F775" s="1099" t="s">
        <v>2249</v>
      </c>
      <c r="H775">
        <v>1</v>
      </c>
      <c r="I775" t="s">
        <v>1046</v>
      </c>
    </row>
    <row r="776" spans="1:9" ht="13.5" thickBot="1" x14ac:dyDescent="0.25">
      <c r="A776" s="1108">
        <v>604.46</v>
      </c>
      <c r="B776" s="1109" t="s">
        <v>2354</v>
      </c>
      <c r="C776" s="1110" t="s">
        <v>2355</v>
      </c>
      <c r="D776" s="1106" t="s">
        <v>1989</v>
      </c>
      <c r="E776" s="1107" t="s">
        <v>1047</v>
      </c>
      <c r="F776" s="1099" t="s">
        <v>2249</v>
      </c>
      <c r="H776">
        <v>1</v>
      </c>
      <c r="I776" t="s">
        <v>1046</v>
      </c>
    </row>
    <row r="777" spans="1:9" ht="13.5" thickBot="1" x14ac:dyDescent="0.25">
      <c r="A777" s="1108">
        <v>604.47</v>
      </c>
      <c r="B777" s="1109" t="s">
        <v>2356</v>
      </c>
      <c r="C777" s="1110" t="s">
        <v>2357</v>
      </c>
      <c r="D777" s="1106" t="s">
        <v>1989</v>
      </c>
      <c r="E777" s="1107" t="s">
        <v>1047</v>
      </c>
      <c r="F777" s="1099" t="s">
        <v>2249</v>
      </c>
      <c r="H777">
        <v>1</v>
      </c>
      <c r="I777" t="s">
        <v>1046</v>
      </c>
    </row>
    <row r="778" spans="1:9" ht="13.5" thickBot="1" x14ac:dyDescent="0.25">
      <c r="A778" s="1108">
        <v>604.55999999999995</v>
      </c>
      <c r="B778" s="1109" t="s">
        <v>2358</v>
      </c>
      <c r="C778" s="1110" t="s">
        <v>2359</v>
      </c>
      <c r="D778" s="1106" t="s">
        <v>1989</v>
      </c>
      <c r="E778" s="1107" t="s">
        <v>1047</v>
      </c>
      <c r="H778">
        <v>1</v>
      </c>
      <c r="I778" t="s">
        <v>1046</v>
      </c>
    </row>
    <row r="779" spans="1:9" ht="13.5" thickBot="1" x14ac:dyDescent="0.25">
      <c r="A779" s="1108">
        <v>604.55999999999995</v>
      </c>
      <c r="B779" s="1109" t="s">
        <v>2360</v>
      </c>
      <c r="C779" s="1110" t="s">
        <v>2361</v>
      </c>
      <c r="D779" s="1106" t="s">
        <v>1989</v>
      </c>
      <c r="E779" s="1107" t="s">
        <v>1047</v>
      </c>
      <c r="H779">
        <v>1</v>
      </c>
      <c r="I779" t="s">
        <v>1046</v>
      </c>
    </row>
    <row r="780" spans="1:9" ht="13.5" thickBot="1" x14ac:dyDescent="0.25">
      <c r="A780" s="1108">
        <v>604.55999999999995</v>
      </c>
      <c r="B780" s="1109" t="s">
        <v>2362</v>
      </c>
      <c r="C780" s="1110" t="s">
        <v>2363</v>
      </c>
      <c r="D780" s="1106" t="s">
        <v>1989</v>
      </c>
      <c r="E780" s="1107" t="s">
        <v>1047</v>
      </c>
      <c r="F780" s="1099" t="s">
        <v>2249</v>
      </c>
      <c r="H780">
        <v>1</v>
      </c>
      <c r="I780" t="s">
        <v>1046</v>
      </c>
    </row>
    <row r="781" spans="1:9" ht="13.5" thickBot="1" x14ac:dyDescent="0.25">
      <c r="A781" s="1108">
        <v>604.55999999999995</v>
      </c>
      <c r="B781" s="1109" t="s">
        <v>2364</v>
      </c>
      <c r="C781" s="1110" t="s">
        <v>2365</v>
      </c>
      <c r="D781" s="1106" t="s">
        <v>1989</v>
      </c>
      <c r="E781" s="1107" t="s">
        <v>1047</v>
      </c>
      <c r="H781">
        <v>1</v>
      </c>
      <c r="I781" t="s">
        <v>1046</v>
      </c>
    </row>
    <row r="782" spans="1:9" ht="13.5" thickBot="1" x14ac:dyDescent="0.25">
      <c r="A782" s="1108">
        <v>604.55999999999995</v>
      </c>
      <c r="B782" s="1109" t="s">
        <v>2366</v>
      </c>
      <c r="C782" s="1110" t="s">
        <v>2367</v>
      </c>
      <c r="D782" s="1106" t="s">
        <v>1989</v>
      </c>
      <c r="E782" s="1107" t="s">
        <v>1047</v>
      </c>
      <c r="H782">
        <v>1</v>
      </c>
      <c r="I782" t="s">
        <v>1046</v>
      </c>
    </row>
    <row r="783" spans="1:9" ht="13.5" thickBot="1" x14ac:dyDescent="0.25">
      <c r="A783" s="1108">
        <v>604.55999999999995</v>
      </c>
      <c r="B783" s="1109" t="s">
        <v>2368</v>
      </c>
      <c r="C783" s="1110" t="s">
        <v>2369</v>
      </c>
      <c r="D783" s="1106" t="s">
        <v>1989</v>
      </c>
      <c r="E783" s="1107" t="s">
        <v>1047</v>
      </c>
      <c r="H783">
        <v>1</v>
      </c>
      <c r="I783" t="s">
        <v>1046</v>
      </c>
    </row>
    <row r="784" spans="1:9" ht="13.5" thickBot="1" x14ac:dyDescent="0.25">
      <c r="A784" s="1155">
        <v>613.01</v>
      </c>
      <c r="B784" s="1109" t="s">
        <v>2370</v>
      </c>
      <c r="C784" s="1144" t="s">
        <v>2371</v>
      </c>
      <c r="D784" s="1106" t="s">
        <v>1989</v>
      </c>
      <c r="E784" s="1107" t="s">
        <v>1047</v>
      </c>
      <c r="F784" s="1099" t="s">
        <v>2249</v>
      </c>
      <c r="H784">
        <v>1</v>
      </c>
      <c r="I784" t="s">
        <v>1046</v>
      </c>
    </row>
    <row r="785" spans="1:9" ht="13.5" thickBot="1" x14ac:dyDescent="0.25">
      <c r="A785" s="1155">
        <v>613.02</v>
      </c>
      <c r="B785" s="1109" t="s">
        <v>2372</v>
      </c>
      <c r="C785" s="1144" t="s">
        <v>2373</v>
      </c>
      <c r="D785" s="1106" t="s">
        <v>1989</v>
      </c>
      <c r="E785" s="1107" t="s">
        <v>1047</v>
      </c>
      <c r="F785" s="1099" t="s">
        <v>2249</v>
      </c>
      <c r="H785">
        <v>1</v>
      </c>
      <c r="I785" t="s">
        <v>1046</v>
      </c>
    </row>
    <row r="786" spans="1:9" ht="13.5" thickBot="1" x14ac:dyDescent="0.25">
      <c r="A786" s="1155">
        <v>613.03</v>
      </c>
      <c r="B786" s="1109" t="s">
        <v>2374</v>
      </c>
      <c r="C786" s="1144" t="s">
        <v>2375</v>
      </c>
      <c r="D786" s="1106" t="s">
        <v>1989</v>
      </c>
      <c r="E786" s="1107" t="s">
        <v>1047</v>
      </c>
      <c r="F786" s="1099" t="s">
        <v>2249</v>
      </c>
      <c r="H786">
        <v>1</v>
      </c>
      <c r="I786" t="s">
        <v>1046</v>
      </c>
    </row>
    <row r="787" spans="1:9" ht="13.5" thickBot="1" x14ac:dyDescent="0.25">
      <c r="A787" s="1155">
        <v>613.04</v>
      </c>
      <c r="B787" s="1109" t="s">
        <v>2376</v>
      </c>
      <c r="C787" s="1144" t="s">
        <v>2377</v>
      </c>
      <c r="D787" s="1106" t="s">
        <v>1989</v>
      </c>
      <c r="E787" s="1107" t="s">
        <v>1047</v>
      </c>
      <c r="F787" s="1099" t="s">
        <v>2249</v>
      </c>
      <c r="H787">
        <v>1</v>
      </c>
      <c r="I787" t="s">
        <v>1046</v>
      </c>
    </row>
    <row r="788" spans="1:9" ht="13.5" thickBot="1" x14ac:dyDescent="0.25">
      <c r="A788" s="1155">
        <v>613.04999999999995</v>
      </c>
      <c r="B788" s="1109" t="s">
        <v>2378</v>
      </c>
      <c r="C788" s="1144" t="s">
        <v>2379</v>
      </c>
      <c r="D788" s="1106" t="s">
        <v>1989</v>
      </c>
      <c r="E788" s="1107" t="s">
        <v>1047</v>
      </c>
      <c r="F788" s="1099" t="s">
        <v>2249</v>
      </c>
      <c r="H788">
        <v>1</v>
      </c>
      <c r="I788" t="s">
        <v>1046</v>
      </c>
    </row>
    <row r="789" spans="1:9" ht="13.5" thickBot="1" x14ac:dyDescent="0.25">
      <c r="A789" s="1155">
        <v>613.05999999999995</v>
      </c>
      <c r="B789" s="1131" t="s">
        <v>2380</v>
      </c>
      <c r="C789" s="1144" t="s">
        <v>2381</v>
      </c>
      <c r="D789" s="1106" t="s">
        <v>1989</v>
      </c>
      <c r="E789" s="1107" t="s">
        <v>1047</v>
      </c>
      <c r="F789" s="1099" t="s">
        <v>2249</v>
      </c>
      <c r="H789">
        <v>1</v>
      </c>
      <c r="I789" t="s">
        <v>1046</v>
      </c>
    </row>
    <row r="790" spans="1:9" ht="13.5" thickBot="1" x14ac:dyDescent="0.25">
      <c r="A790" s="1155">
        <v>613.07000000000005</v>
      </c>
      <c r="B790" s="1131" t="s">
        <v>2382</v>
      </c>
      <c r="C790" s="1144" t="s">
        <v>2383</v>
      </c>
      <c r="D790" s="1106" t="s">
        <v>1989</v>
      </c>
      <c r="E790" s="1107" t="s">
        <v>1047</v>
      </c>
      <c r="F790" s="1099" t="s">
        <v>2249</v>
      </c>
      <c r="H790">
        <v>1</v>
      </c>
      <c r="I790" t="s">
        <v>1046</v>
      </c>
    </row>
    <row r="791" spans="1:9" ht="13.5" thickBot="1" x14ac:dyDescent="0.25">
      <c r="A791" s="1155">
        <v>613.08000000000004</v>
      </c>
      <c r="B791" s="1131" t="s">
        <v>2384</v>
      </c>
      <c r="C791" s="1144" t="s">
        <v>2385</v>
      </c>
      <c r="D791" s="1106" t="s">
        <v>1989</v>
      </c>
      <c r="E791" s="1107" t="s">
        <v>1047</v>
      </c>
      <c r="F791" s="1099" t="s">
        <v>2249</v>
      </c>
      <c r="H791">
        <v>1</v>
      </c>
      <c r="I791" t="s">
        <v>1046</v>
      </c>
    </row>
    <row r="792" spans="1:9" ht="13.5" thickBot="1" x14ac:dyDescent="0.25">
      <c r="A792" s="1155">
        <v>613.09</v>
      </c>
      <c r="B792" s="1131" t="s">
        <v>2386</v>
      </c>
      <c r="C792" s="1144" t="s">
        <v>2387</v>
      </c>
      <c r="D792" s="1106" t="s">
        <v>1989</v>
      </c>
      <c r="E792" s="1107" t="s">
        <v>1047</v>
      </c>
      <c r="F792" s="1099" t="s">
        <v>2249</v>
      </c>
      <c r="H792">
        <v>1</v>
      </c>
      <c r="I792" t="s">
        <v>1046</v>
      </c>
    </row>
    <row r="793" spans="1:9" ht="13.5" thickBot="1" x14ac:dyDescent="0.25">
      <c r="A793" s="1155">
        <v>613.1</v>
      </c>
      <c r="B793" s="1131" t="s">
        <v>2388</v>
      </c>
      <c r="C793" s="1144" t="s">
        <v>2389</v>
      </c>
      <c r="D793" s="1106" t="s">
        <v>1989</v>
      </c>
      <c r="E793" s="1107" t="s">
        <v>1047</v>
      </c>
      <c r="F793" s="1099" t="s">
        <v>2249</v>
      </c>
      <c r="H793">
        <v>1</v>
      </c>
      <c r="I793" t="s">
        <v>1046</v>
      </c>
    </row>
    <row r="794" spans="1:9" ht="13.5" thickBot="1" x14ac:dyDescent="0.25">
      <c r="A794" s="1155">
        <v>613.11</v>
      </c>
      <c r="B794" s="1131" t="s">
        <v>2390</v>
      </c>
      <c r="C794" s="1144" t="s">
        <v>2391</v>
      </c>
      <c r="D794" s="1106" t="s">
        <v>1989</v>
      </c>
      <c r="E794" s="1107" t="s">
        <v>1047</v>
      </c>
      <c r="F794" s="1099" t="s">
        <v>2249</v>
      </c>
      <c r="H794">
        <v>1</v>
      </c>
      <c r="I794" t="s">
        <v>1046</v>
      </c>
    </row>
    <row r="795" spans="1:9" ht="13.5" thickBot="1" x14ac:dyDescent="0.25">
      <c r="A795" s="1155">
        <v>613.12</v>
      </c>
      <c r="B795" s="1131" t="s">
        <v>2392</v>
      </c>
      <c r="C795" s="1144" t="s">
        <v>2393</v>
      </c>
      <c r="D795" s="1106" t="s">
        <v>1989</v>
      </c>
      <c r="E795" s="1107" t="s">
        <v>1047</v>
      </c>
      <c r="F795" s="1099" t="s">
        <v>2249</v>
      </c>
      <c r="H795">
        <v>1</v>
      </c>
      <c r="I795" t="s">
        <v>1046</v>
      </c>
    </row>
    <row r="796" spans="1:9" ht="13.5" thickBot="1" x14ac:dyDescent="0.25">
      <c r="A796" s="1155">
        <v>613.13</v>
      </c>
      <c r="B796" s="1131" t="s">
        <v>2394</v>
      </c>
      <c r="C796" s="1144" t="s">
        <v>2395</v>
      </c>
      <c r="D796" s="1106" t="s">
        <v>1989</v>
      </c>
      <c r="E796" s="1107" t="s">
        <v>1047</v>
      </c>
      <c r="F796" s="1099" t="s">
        <v>2249</v>
      </c>
      <c r="H796">
        <v>1</v>
      </c>
      <c r="I796" t="s">
        <v>1046</v>
      </c>
    </row>
    <row r="797" spans="1:9" ht="13.5" thickBot="1" x14ac:dyDescent="0.25">
      <c r="A797" s="1155">
        <v>613.14</v>
      </c>
      <c r="B797" s="1131" t="s">
        <v>2396</v>
      </c>
      <c r="C797" s="1144" t="s">
        <v>2397</v>
      </c>
      <c r="D797" s="1106" t="s">
        <v>1989</v>
      </c>
      <c r="E797" s="1107" t="s">
        <v>1047</v>
      </c>
      <c r="F797" s="1099" t="s">
        <v>2249</v>
      </c>
      <c r="H797">
        <v>1</v>
      </c>
      <c r="I797" t="s">
        <v>1046</v>
      </c>
    </row>
    <row r="798" spans="1:9" ht="13.5" thickBot="1" x14ac:dyDescent="0.25">
      <c r="A798" s="1155">
        <v>613.15</v>
      </c>
      <c r="B798" s="1109" t="s">
        <v>2398</v>
      </c>
      <c r="C798" s="1144" t="s">
        <v>2399</v>
      </c>
      <c r="D798" s="1106" t="s">
        <v>1989</v>
      </c>
      <c r="E798" s="1107" t="s">
        <v>1047</v>
      </c>
      <c r="F798" s="1099" t="s">
        <v>2249</v>
      </c>
      <c r="H798">
        <v>1</v>
      </c>
      <c r="I798" t="s">
        <v>1046</v>
      </c>
    </row>
    <row r="799" spans="1:9" ht="13.5" thickBot="1" x14ac:dyDescent="0.25">
      <c r="A799" s="1155">
        <v>613.16</v>
      </c>
      <c r="B799" s="1109" t="s">
        <v>2400</v>
      </c>
      <c r="C799" s="1144" t="s">
        <v>2401</v>
      </c>
      <c r="D799" s="1106" t="s">
        <v>1989</v>
      </c>
      <c r="E799" s="1107" t="s">
        <v>1047</v>
      </c>
      <c r="F799" s="1099" t="s">
        <v>2249</v>
      </c>
      <c r="H799">
        <v>1</v>
      </c>
      <c r="I799" t="s">
        <v>1046</v>
      </c>
    </row>
    <row r="800" spans="1:9" ht="13.5" thickBot="1" x14ac:dyDescent="0.25">
      <c r="A800" s="1155">
        <v>613.16999999999996</v>
      </c>
      <c r="B800" s="1109" t="s">
        <v>2402</v>
      </c>
      <c r="C800" s="1144" t="s">
        <v>2403</v>
      </c>
      <c r="D800" s="1106" t="s">
        <v>1989</v>
      </c>
      <c r="E800" s="1107" t="s">
        <v>1047</v>
      </c>
      <c r="F800" s="1099" t="s">
        <v>2249</v>
      </c>
      <c r="H800">
        <v>1</v>
      </c>
      <c r="I800" t="s">
        <v>1046</v>
      </c>
    </row>
    <row r="801" spans="1:9" ht="13.5" thickBot="1" x14ac:dyDescent="0.25">
      <c r="A801" s="1155">
        <v>613.17999999999995</v>
      </c>
      <c r="B801" s="1109" t="s">
        <v>2404</v>
      </c>
      <c r="C801" s="1144" t="s">
        <v>2405</v>
      </c>
      <c r="D801" s="1106" t="s">
        <v>1989</v>
      </c>
      <c r="E801" s="1107" t="s">
        <v>1047</v>
      </c>
      <c r="F801" s="1099" t="s">
        <v>2249</v>
      </c>
      <c r="H801">
        <v>1</v>
      </c>
      <c r="I801" t="s">
        <v>1046</v>
      </c>
    </row>
    <row r="802" spans="1:9" ht="13.5" thickBot="1" x14ac:dyDescent="0.25">
      <c r="A802" s="1108">
        <v>505.01</v>
      </c>
      <c r="B802" s="1109" t="s">
        <v>2406</v>
      </c>
      <c r="C802" s="1110" t="s">
        <v>2407</v>
      </c>
      <c r="D802" s="1106" t="s">
        <v>1989</v>
      </c>
      <c r="E802" s="1107" t="s">
        <v>1047</v>
      </c>
      <c r="F802" s="1099" t="s">
        <v>2249</v>
      </c>
      <c r="H802">
        <v>1</v>
      </c>
      <c r="I802" t="s">
        <v>1046</v>
      </c>
    </row>
    <row r="803" spans="1:9" ht="13.5" thickBot="1" x14ac:dyDescent="0.25">
      <c r="A803" s="1155">
        <v>614.01</v>
      </c>
      <c r="B803" s="1109" t="s">
        <v>2408</v>
      </c>
      <c r="C803" s="1144" t="s">
        <v>1455</v>
      </c>
      <c r="D803" s="1106" t="s">
        <v>1989</v>
      </c>
      <c r="E803" s="1107" t="s">
        <v>1047</v>
      </c>
      <c r="F803" s="1099" t="s">
        <v>2249</v>
      </c>
      <c r="H803">
        <v>1</v>
      </c>
      <c r="I803" t="s">
        <v>1046</v>
      </c>
    </row>
    <row r="804" spans="1:9" ht="13.5" thickBot="1" x14ac:dyDescent="0.25">
      <c r="A804" s="1155">
        <v>614.02</v>
      </c>
      <c r="B804" s="1109" t="s">
        <v>2409</v>
      </c>
      <c r="C804" s="1144" t="s">
        <v>1458</v>
      </c>
      <c r="D804" s="1106" t="s">
        <v>1989</v>
      </c>
      <c r="E804" s="1107" t="s">
        <v>1047</v>
      </c>
      <c r="F804" s="1099" t="s">
        <v>2249</v>
      </c>
      <c r="H804">
        <v>1</v>
      </c>
      <c r="I804" t="s">
        <v>1046</v>
      </c>
    </row>
    <row r="805" spans="1:9" ht="13.5" thickBot="1" x14ac:dyDescent="0.25">
      <c r="A805" s="1155">
        <v>614.03</v>
      </c>
      <c r="B805" s="1109" t="s">
        <v>2410</v>
      </c>
      <c r="C805" s="1144" t="s">
        <v>1461</v>
      </c>
      <c r="D805" s="1106" t="s">
        <v>1989</v>
      </c>
      <c r="E805" s="1107" t="s">
        <v>1047</v>
      </c>
      <c r="F805" s="1099" t="s">
        <v>2249</v>
      </c>
      <c r="H805">
        <v>1</v>
      </c>
      <c r="I805" t="s">
        <v>1046</v>
      </c>
    </row>
    <row r="806" spans="1:9" ht="13.5" thickBot="1" x14ac:dyDescent="0.25">
      <c r="A806" s="1155">
        <v>614.04</v>
      </c>
      <c r="B806" s="1109" t="s">
        <v>2411</v>
      </c>
      <c r="C806" s="1144" t="s">
        <v>1464</v>
      </c>
      <c r="D806" s="1106" t="s">
        <v>1989</v>
      </c>
      <c r="E806" s="1107" t="s">
        <v>1047</v>
      </c>
      <c r="F806" s="1099" t="s">
        <v>2249</v>
      </c>
      <c r="H806">
        <v>1</v>
      </c>
      <c r="I806" t="s">
        <v>1046</v>
      </c>
    </row>
    <row r="807" spans="1:9" ht="13.5" thickBot="1" x14ac:dyDescent="0.25">
      <c r="A807" s="1155">
        <v>614.04999999999995</v>
      </c>
      <c r="B807" s="1109" t="s">
        <v>2412</v>
      </c>
      <c r="C807" s="1144" t="s">
        <v>1467</v>
      </c>
      <c r="D807" s="1106" t="s">
        <v>1989</v>
      </c>
      <c r="E807" s="1107" t="s">
        <v>1047</v>
      </c>
      <c r="F807" s="1099" t="s">
        <v>2249</v>
      </c>
      <c r="H807">
        <v>1</v>
      </c>
      <c r="I807" t="s">
        <v>1046</v>
      </c>
    </row>
    <row r="808" spans="1:9" ht="13.5" thickBot="1" x14ac:dyDescent="0.25">
      <c r="A808" s="1155">
        <v>614.05999999999995</v>
      </c>
      <c r="B808" s="1109" t="s">
        <v>2413</v>
      </c>
      <c r="C808" s="1144" t="s">
        <v>2414</v>
      </c>
      <c r="D808" s="1106" t="s">
        <v>1989</v>
      </c>
      <c r="E808" s="1107" t="s">
        <v>1047</v>
      </c>
      <c r="F808" s="1099" t="s">
        <v>2249</v>
      </c>
      <c r="H808">
        <v>1</v>
      </c>
      <c r="I808" t="s">
        <v>1046</v>
      </c>
    </row>
    <row r="809" spans="1:9" ht="13.5" thickBot="1" x14ac:dyDescent="0.25">
      <c r="A809" s="1155">
        <v>614.07000000000005</v>
      </c>
      <c r="B809" s="1109" t="s">
        <v>2415</v>
      </c>
      <c r="C809" s="1144" t="s">
        <v>1473</v>
      </c>
      <c r="D809" s="1106" t="s">
        <v>1989</v>
      </c>
      <c r="E809" s="1107" t="s">
        <v>1047</v>
      </c>
      <c r="F809" s="1099" t="s">
        <v>2249</v>
      </c>
      <c r="H809">
        <v>1</v>
      </c>
      <c r="I809" t="s">
        <v>1046</v>
      </c>
    </row>
    <row r="810" spans="1:9" ht="13.5" thickBot="1" x14ac:dyDescent="0.25">
      <c r="A810" s="1155">
        <v>614.08000000000004</v>
      </c>
      <c r="B810" s="1109" t="s">
        <v>2416</v>
      </c>
      <c r="C810" s="1144" t="s">
        <v>1476</v>
      </c>
      <c r="D810" s="1106" t="s">
        <v>1989</v>
      </c>
      <c r="E810" s="1107" t="s">
        <v>1047</v>
      </c>
      <c r="F810" s="1099" t="s">
        <v>2249</v>
      </c>
      <c r="H810">
        <v>1</v>
      </c>
      <c r="I810" t="s">
        <v>1046</v>
      </c>
    </row>
    <row r="811" spans="1:9" ht="13.5" thickBot="1" x14ac:dyDescent="0.25">
      <c r="A811" s="1155">
        <v>614.09</v>
      </c>
      <c r="B811" s="1109" t="s">
        <v>2417</v>
      </c>
      <c r="C811" s="1144" t="s">
        <v>2418</v>
      </c>
      <c r="D811" s="1106" t="s">
        <v>1989</v>
      </c>
      <c r="E811" s="1107" t="s">
        <v>1047</v>
      </c>
      <c r="F811" s="1099" t="s">
        <v>2249</v>
      </c>
      <c r="H811">
        <v>1</v>
      </c>
      <c r="I811" t="s">
        <v>1046</v>
      </c>
    </row>
    <row r="812" spans="1:9" ht="13.5" thickBot="1" x14ac:dyDescent="0.25">
      <c r="A812" s="1155">
        <v>614.1</v>
      </c>
      <c r="B812" s="1109" t="s">
        <v>2419</v>
      </c>
      <c r="C812" s="1144" t="s">
        <v>1482</v>
      </c>
      <c r="D812" s="1106" t="s">
        <v>1989</v>
      </c>
      <c r="E812" s="1107" t="s">
        <v>1047</v>
      </c>
      <c r="F812" s="1099" t="s">
        <v>2249</v>
      </c>
      <c r="H812">
        <v>1</v>
      </c>
      <c r="I812" t="s">
        <v>1046</v>
      </c>
    </row>
    <row r="813" spans="1:9" ht="13.5" thickBot="1" x14ac:dyDescent="0.25">
      <c r="A813" s="1108">
        <v>505.01</v>
      </c>
      <c r="B813" s="1109" t="s">
        <v>2420</v>
      </c>
      <c r="C813" s="1110" t="s">
        <v>2421</v>
      </c>
      <c r="D813" s="1106" t="s">
        <v>1989</v>
      </c>
      <c r="E813" s="1107" t="s">
        <v>1047</v>
      </c>
      <c r="F813" s="1099" t="s">
        <v>2249</v>
      </c>
      <c r="H813">
        <v>1</v>
      </c>
      <c r="I813" t="s">
        <v>1046</v>
      </c>
    </row>
    <row r="814" spans="1:9" ht="13.5" thickBot="1" x14ac:dyDescent="0.25">
      <c r="A814" s="1108">
        <v>604.54999999999995</v>
      </c>
      <c r="B814" s="1109" t="s">
        <v>2422</v>
      </c>
      <c r="C814" s="1110" t="s">
        <v>2423</v>
      </c>
      <c r="D814" s="1106" t="s">
        <v>1989</v>
      </c>
      <c r="E814" s="1107" t="s">
        <v>1047</v>
      </c>
      <c r="H814">
        <v>1</v>
      </c>
      <c r="I814" t="s">
        <v>1046</v>
      </c>
    </row>
    <row r="815" spans="1:9" ht="13.5" thickBot="1" x14ac:dyDescent="0.25">
      <c r="A815" s="1108">
        <v>604.82000000000005</v>
      </c>
      <c r="B815" s="1109" t="s">
        <v>2424</v>
      </c>
      <c r="C815" s="1144" t="s">
        <v>2425</v>
      </c>
      <c r="D815" s="1106" t="s">
        <v>1989</v>
      </c>
      <c r="E815" s="1107" t="s">
        <v>1047</v>
      </c>
      <c r="H815">
        <v>1</v>
      </c>
      <c r="I815" t="s">
        <v>1046</v>
      </c>
    </row>
    <row r="816" spans="1:9" ht="13.5" thickBot="1" x14ac:dyDescent="0.25">
      <c r="A816" s="1108">
        <v>604.48</v>
      </c>
      <c r="B816" s="1109" t="s">
        <v>2426</v>
      </c>
      <c r="C816" s="1110" t="s">
        <v>2427</v>
      </c>
      <c r="D816" s="1106" t="s">
        <v>1989</v>
      </c>
      <c r="E816" s="1107" t="s">
        <v>1047</v>
      </c>
      <c r="H816">
        <v>1</v>
      </c>
      <c r="I816" t="s">
        <v>1046</v>
      </c>
    </row>
    <row r="817" spans="1:9" ht="13.5" thickBot="1" x14ac:dyDescent="0.25">
      <c r="A817" s="1108">
        <v>604.48</v>
      </c>
      <c r="B817" s="1109" t="s">
        <v>2428</v>
      </c>
      <c r="C817" s="1110" t="s">
        <v>2429</v>
      </c>
      <c r="D817" s="1106" t="s">
        <v>1989</v>
      </c>
      <c r="E817" s="1107" t="s">
        <v>1047</v>
      </c>
      <c r="F817" s="1099" t="s">
        <v>2249</v>
      </c>
      <c r="H817">
        <v>1</v>
      </c>
      <c r="I817" t="s">
        <v>1046</v>
      </c>
    </row>
    <row r="818" spans="1:9" ht="13.5" thickBot="1" x14ac:dyDescent="0.25">
      <c r="A818" s="1108">
        <v>604.82000000000005</v>
      </c>
      <c r="B818" s="1109" t="s">
        <v>2430</v>
      </c>
      <c r="C818" s="1110" t="s">
        <v>2431</v>
      </c>
      <c r="D818" s="1106" t="s">
        <v>1989</v>
      </c>
      <c r="E818" s="1107" t="s">
        <v>1047</v>
      </c>
      <c r="H818">
        <v>1</v>
      </c>
      <c r="I818" t="s">
        <v>1046</v>
      </c>
    </row>
    <row r="819" spans="1:9" ht="13.5" thickBot="1" x14ac:dyDescent="0.25">
      <c r="A819" s="1108">
        <v>604.82000000000005</v>
      </c>
      <c r="B819" s="1109" t="s">
        <v>2432</v>
      </c>
      <c r="C819" s="1110" t="s">
        <v>2433</v>
      </c>
      <c r="D819" s="1106" t="s">
        <v>1989</v>
      </c>
      <c r="E819" s="1107" t="s">
        <v>1047</v>
      </c>
      <c r="H819">
        <v>1</v>
      </c>
      <c r="I819" t="s">
        <v>1046</v>
      </c>
    </row>
    <row r="820" spans="1:9" ht="13.5" thickBot="1" x14ac:dyDescent="0.25">
      <c r="A820" s="1108">
        <v>604.82000000000005</v>
      </c>
      <c r="B820" s="1131" t="s">
        <v>2434</v>
      </c>
      <c r="C820" s="1110" t="s">
        <v>2435</v>
      </c>
      <c r="D820" s="1106" t="s">
        <v>1989</v>
      </c>
      <c r="E820" s="1107" t="s">
        <v>1047</v>
      </c>
      <c r="H820">
        <v>1</v>
      </c>
      <c r="I820" t="s">
        <v>1046</v>
      </c>
    </row>
    <row r="821" spans="1:9" ht="22.5" x14ac:dyDescent="0.2">
      <c r="A821" s="1108">
        <v>604.82000000000005</v>
      </c>
      <c r="B821" s="1131" t="s">
        <v>2436</v>
      </c>
      <c r="C821" s="1156" t="s">
        <v>2437</v>
      </c>
      <c r="D821" s="1106" t="s">
        <v>1989</v>
      </c>
      <c r="E821" s="1107" t="s">
        <v>1047</v>
      </c>
      <c r="I821"/>
    </row>
    <row r="822" spans="1:9" ht="13.5" thickBot="1" x14ac:dyDescent="0.25">
      <c r="A822" s="1108">
        <v>604.49</v>
      </c>
      <c r="B822" s="1109" t="s">
        <v>2438</v>
      </c>
      <c r="C822" s="1110" t="s">
        <v>2439</v>
      </c>
      <c r="D822" s="1106" t="s">
        <v>1989</v>
      </c>
      <c r="E822" s="1107" t="s">
        <v>1047</v>
      </c>
      <c r="H822">
        <v>1</v>
      </c>
      <c r="I822" t="s">
        <v>1046</v>
      </c>
    </row>
    <row r="823" spans="1:9" ht="13.5" thickBot="1" x14ac:dyDescent="0.25">
      <c r="A823" s="1108">
        <v>604.49</v>
      </c>
      <c r="B823" s="1109" t="s">
        <v>2440</v>
      </c>
      <c r="C823" s="1110" t="s">
        <v>2441</v>
      </c>
      <c r="D823" s="1106" t="s">
        <v>1989</v>
      </c>
      <c r="E823" s="1107" t="s">
        <v>1047</v>
      </c>
      <c r="F823" s="1099" t="s">
        <v>2249</v>
      </c>
      <c r="H823">
        <v>1</v>
      </c>
      <c r="I823" t="s">
        <v>1046</v>
      </c>
    </row>
    <row r="824" spans="1:9" ht="13.5" thickBot="1" x14ac:dyDescent="0.25">
      <c r="A824" s="1108">
        <v>604.49</v>
      </c>
      <c r="B824" s="1109" t="s">
        <v>2442</v>
      </c>
      <c r="C824" s="1110" t="s">
        <v>2443</v>
      </c>
      <c r="D824" s="1106" t="s">
        <v>1989</v>
      </c>
      <c r="E824" s="1107" t="s">
        <v>1047</v>
      </c>
      <c r="H824">
        <v>1</v>
      </c>
      <c r="I824" t="s">
        <v>1046</v>
      </c>
    </row>
    <row r="825" spans="1:9" ht="13.5" thickBot="1" x14ac:dyDescent="0.25">
      <c r="A825" s="1108">
        <v>604.49</v>
      </c>
      <c r="B825" s="1109" t="s">
        <v>2444</v>
      </c>
      <c r="C825" s="1110" t="s">
        <v>2445</v>
      </c>
      <c r="D825" s="1106" t="s">
        <v>1989</v>
      </c>
      <c r="E825" s="1107" t="s">
        <v>1047</v>
      </c>
      <c r="F825" s="1099" t="s">
        <v>2249</v>
      </c>
      <c r="H825">
        <v>1</v>
      </c>
      <c r="I825" t="s">
        <v>1046</v>
      </c>
    </row>
    <row r="826" spans="1:9" ht="13.5" thickBot="1" x14ac:dyDescent="0.25">
      <c r="A826" s="1157">
        <v>604.82000000000005</v>
      </c>
      <c r="B826" s="1109" t="s">
        <v>2446</v>
      </c>
      <c r="C826" s="1110" t="s">
        <v>2447</v>
      </c>
      <c r="D826" s="1106" t="s">
        <v>1989</v>
      </c>
      <c r="E826" s="1107" t="s">
        <v>1047</v>
      </c>
      <c r="H826">
        <v>1</v>
      </c>
      <c r="I826" t="s">
        <v>1046</v>
      </c>
    </row>
    <row r="827" spans="1:9" ht="13.5" thickBot="1" x14ac:dyDescent="0.25">
      <c r="A827" s="1157">
        <v>604.82000000000005</v>
      </c>
      <c r="B827" s="1109" t="s">
        <v>2448</v>
      </c>
      <c r="C827" s="1110" t="s">
        <v>2449</v>
      </c>
      <c r="D827" s="1106" t="s">
        <v>1989</v>
      </c>
      <c r="E827" s="1107" t="s">
        <v>1047</v>
      </c>
      <c r="H827">
        <v>1</v>
      </c>
      <c r="I827" t="s">
        <v>1046</v>
      </c>
    </row>
    <row r="828" spans="1:9" ht="13.5" thickBot="1" x14ac:dyDescent="0.25">
      <c r="A828" s="1108">
        <v>612.01</v>
      </c>
      <c r="B828" s="1109" t="s">
        <v>2450</v>
      </c>
      <c r="C828" s="1110" t="s">
        <v>2451</v>
      </c>
      <c r="D828" s="1106" t="s">
        <v>1989</v>
      </c>
      <c r="E828" s="1107" t="s">
        <v>1047</v>
      </c>
      <c r="F828" s="1099" t="s">
        <v>2249</v>
      </c>
      <c r="H828">
        <v>1</v>
      </c>
      <c r="I828" t="s">
        <v>1046</v>
      </c>
    </row>
    <row r="829" spans="1:9" ht="13.5" thickBot="1" x14ac:dyDescent="0.25">
      <c r="A829" s="1108">
        <v>604.62</v>
      </c>
      <c r="B829" s="1109" t="s">
        <v>2452</v>
      </c>
      <c r="C829" s="1110" t="s">
        <v>2453</v>
      </c>
      <c r="D829" s="1106" t="s">
        <v>1989</v>
      </c>
      <c r="E829" s="1107" t="s">
        <v>1047</v>
      </c>
      <c r="H829">
        <v>1</v>
      </c>
      <c r="I829" t="s">
        <v>1046</v>
      </c>
    </row>
    <row r="830" spans="1:9" ht="13.5" thickBot="1" x14ac:dyDescent="0.25">
      <c r="A830" s="1108">
        <v>604.75</v>
      </c>
      <c r="B830" s="1109" t="s">
        <v>2454</v>
      </c>
      <c r="C830" s="1110" t="s">
        <v>2455</v>
      </c>
      <c r="D830" s="1106" t="s">
        <v>1989</v>
      </c>
      <c r="E830" s="1107" t="s">
        <v>1047</v>
      </c>
      <c r="H830">
        <v>1</v>
      </c>
      <c r="I830" t="s">
        <v>1046</v>
      </c>
    </row>
    <row r="831" spans="1:9" ht="13.5" thickBot="1" x14ac:dyDescent="0.25">
      <c r="A831" s="1108">
        <v>604.5</v>
      </c>
      <c r="B831" s="1109" t="s">
        <v>2456</v>
      </c>
      <c r="C831" s="1110" t="s">
        <v>2457</v>
      </c>
      <c r="D831" s="1106" t="s">
        <v>1989</v>
      </c>
      <c r="E831" s="1107" t="s">
        <v>1047</v>
      </c>
      <c r="H831">
        <v>1</v>
      </c>
      <c r="I831" t="s">
        <v>1046</v>
      </c>
    </row>
    <row r="832" spans="1:9" ht="13.5" thickBot="1" x14ac:dyDescent="0.25">
      <c r="A832" s="1108">
        <v>604.5</v>
      </c>
      <c r="B832" s="1109" t="s">
        <v>2458</v>
      </c>
      <c r="C832" s="1110" t="s">
        <v>2459</v>
      </c>
      <c r="D832" s="1106" t="s">
        <v>1989</v>
      </c>
      <c r="E832" s="1107" t="s">
        <v>1047</v>
      </c>
      <c r="H832">
        <v>1</v>
      </c>
      <c r="I832" t="s">
        <v>1046</v>
      </c>
    </row>
    <row r="833" spans="1:9" ht="13.5" thickBot="1" x14ac:dyDescent="0.25">
      <c r="A833" s="1108">
        <v>604.51</v>
      </c>
      <c r="B833" s="1109" t="s">
        <v>2460</v>
      </c>
      <c r="C833" s="1110" t="s">
        <v>2461</v>
      </c>
      <c r="D833" s="1106" t="s">
        <v>1989</v>
      </c>
      <c r="E833" s="1107" t="s">
        <v>1047</v>
      </c>
      <c r="H833">
        <v>1</v>
      </c>
      <c r="I833" t="s">
        <v>1046</v>
      </c>
    </row>
    <row r="834" spans="1:9" ht="13.5" thickBot="1" x14ac:dyDescent="0.25">
      <c r="A834" s="1108">
        <v>604.52</v>
      </c>
      <c r="B834" s="1109" t="s">
        <v>2462</v>
      </c>
      <c r="C834" s="1110" t="s">
        <v>2463</v>
      </c>
      <c r="D834" s="1106" t="s">
        <v>1989</v>
      </c>
      <c r="E834" s="1107" t="s">
        <v>1047</v>
      </c>
      <c r="H834">
        <v>1</v>
      </c>
      <c r="I834" t="s">
        <v>1046</v>
      </c>
    </row>
    <row r="835" spans="1:9" ht="13.5" thickBot="1" x14ac:dyDescent="0.25">
      <c r="A835" s="1108">
        <v>604.53</v>
      </c>
      <c r="B835" s="1109" t="s">
        <v>2464</v>
      </c>
      <c r="C835" s="1110" t="s">
        <v>2465</v>
      </c>
      <c r="D835" s="1106" t="s">
        <v>1989</v>
      </c>
      <c r="E835" s="1107" t="s">
        <v>1047</v>
      </c>
      <c r="H835">
        <v>1</v>
      </c>
      <c r="I835" t="s">
        <v>1046</v>
      </c>
    </row>
    <row r="836" spans="1:9" ht="13.5" thickBot="1" x14ac:dyDescent="0.25">
      <c r="A836" s="1108">
        <v>604.54</v>
      </c>
      <c r="B836" s="1109" t="s">
        <v>2466</v>
      </c>
      <c r="C836" s="1110" t="s">
        <v>2467</v>
      </c>
      <c r="D836" s="1106" t="s">
        <v>1989</v>
      </c>
      <c r="E836" s="1107" t="s">
        <v>1047</v>
      </c>
      <c r="H836">
        <v>1</v>
      </c>
      <c r="I836" t="s">
        <v>1046</v>
      </c>
    </row>
    <row r="837" spans="1:9" ht="13.5" thickBot="1" x14ac:dyDescent="0.25">
      <c r="A837" s="1108">
        <v>604.57000000000005</v>
      </c>
      <c r="B837" s="1109" t="s">
        <v>2468</v>
      </c>
      <c r="C837" s="1110" t="s">
        <v>2469</v>
      </c>
      <c r="D837" s="1106" t="s">
        <v>1989</v>
      </c>
      <c r="E837" s="1107" t="s">
        <v>1047</v>
      </c>
      <c r="H837">
        <v>1</v>
      </c>
      <c r="I837" t="s">
        <v>1046</v>
      </c>
    </row>
    <row r="838" spans="1:9" ht="13.5" thickBot="1" x14ac:dyDescent="0.25">
      <c r="A838" s="1108">
        <v>604.57000000000005</v>
      </c>
      <c r="B838" s="1109" t="s">
        <v>2470</v>
      </c>
      <c r="C838" s="1110" t="s">
        <v>2471</v>
      </c>
      <c r="D838" s="1106" t="s">
        <v>1989</v>
      </c>
      <c r="E838" s="1107" t="s">
        <v>1047</v>
      </c>
      <c r="F838" s="1099" t="s">
        <v>2249</v>
      </c>
      <c r="H838">
        <v>1</v>
      </c>
      <c r="I838" t="s">
        <v>1046</v>
      </c>
    </row>
    <row r="839" spans="1:9" ht="13.5" thickBot="1" x14ac:dyDescent="0.25">
      <c r="A839" s="1108">
        <v>604.58000000000004</v>
      </c>
      <c r="B839" s="1109" t="s">
        <v>2472</v>
      </c>
      <c r="C839" s="1110" t="s">
        <v>2473</v>
      </c>
      <c r="D839" s="1106" t="s">
        <v>1989</v>
      </c>
      <c r="E839" s="1107" t="s">
        <v>1047</v>
      </c>
      <c r="H839">
        <v>1</v>
      </c>
      <c r="I839" t="s">
        <v>1046</v>
      </c>
    </row>
    <row r="840" spans="1:9" ht="13.5" thickBot="1" x14ac:dyDescent="0.25">
      <c r="A840" s="1108">
        <v>604.59</v>
      </c>
      <c r="B840" s="1109" t="s">
        <v>2474</v>
      </c>
      <c r="C840" s="1110" t="s">
        <v>2475</v>
      </c>
      <c r="D840" s="1106" t="s">
        <v>1989</v>
      </c>
      <c r="E840" s="1107" t="s">
        <v>1047</v>
      </c>
      <c r="H840">
        <v>1</v>
      </c>
      <c r="I840" t="s">
        <v>1046</v>
      </c>
    </row>
    <row r="841" spans="1:9" ht="13.5" thickBot="1" x14ac:dyDescent="0.25">
      <c r="A841" s="1108">
        <v>612.01</v>
      </c>
      <c r="B841" s="1109" t="s">
        <v>2476</v>
      </c>
      <c r="C841" s="1110" t="s">
        <v>2477</v>
      </c>
      <c r="D841" s="1106" t="s">
        <v>1989</v>
      </c>
      <c r="E841" s="1107" t="s">
        <v>1047</v>
      </c>
      <c r="H841">
        <v>1</v>
      </c>
      <c r="I841" t="s">
        <v>1046</v>
      </c>
    </row>
    <row r="842" spans="1:9" ht="13.5" thickBot="1" x14ac:dyDescent="0.25">
      <c r="A842" s="1108">
        <v>604.59</v>
      </c>
      <c r="B842" s="1109" t="s">
        <v>2478</v>
      </c>
      <c r="C842" s="1110" t="s">
        <v>2479</v>
      </c>
      <c r="D842" s="1106" t="s">
        <v>1989</v>
      </c>
      <c r="E842" s="1107" t="s">
        <v>1047</v>
      </c>
      <c r="H842">
        <v>1</v>
      </c>
      <c r="I842" t="s">
        <v>1046</v>
      </c>
    </row>
    <row r="843" spans="1:9" ht="13.5" thickBot="1" x14ac:dyDescent="0.25">
      <c r="A843" s="1108">
        <v>604.6</v>
      </c>
      <c r="B843" s="1109" t="s">
        <v>2480</v>
      </c>
      <c r="C843" s="1110" t="s">
        <v>2481</v>
      </c>
      <c r="D843" s="1106" t="s">
        <v>1989</v>
      </c>
      <c r="E843" s="1107" t="s">
        <v>1047</v>
      </c>
      <c r="H843">
        <v>1</v>
      </c>
      <c r="I843" t="s">
        <v>1046</v>
      </c>
    </row>
    <row r="844" spans="1:9" ht="13.5" thickBot="1" x14ac:dyDescent="0.25">
      <c r="A844" s="1108">
        <v>604.61</v>
      </c>
      <c r="B844" s="1109" t="s">
        <v>2482</v>
      </c>
      <c r="C844" s="1110" t="s">
        <v>2483</v>
      </c>
      <c r="D844" s="1106" t="s">
        <v>1989</v>
      </c>
      <c r="E844" s="1107" t="s">
        <v>1047</v>
      </c>
      <c r="H844">
        <v>1</v>
      </c>
      <c r="I844" t="s">
        <v>1046</v>
      </c>
    </row>
    <row r="845" spans="1:9" ht="13.5" thickBot="1" x14ac:dyDescent="0.25">
      <c r="A845" s="1108">
        <v>604.63</v>
      </c>
      <c r="B845" s="1109" t="s">
        <v>2484</v>
      </c>
      <c r="C845" s="1110" t="s">
        <v>2485</v>
      </c>
      <c r="D845" s="1106" t="s">
        <v>1989</v>
      </c>
      <c r="E845" s="1107" t="s">
        <v>1047</v>
      </c>
      <c r="H845">
        <v>1</v>
      </c>
      <c r="I845" t="s">
        <v>1046</v>
      </c>
    </row>
    <row r="846" spans="1:9" ht="13.5" thickBot="1" x14ac:dyDescent="0.25">
      <c r="A846" s="1108">
        <v>604.63</v>
      </c>
      <c r="B846" s="1109" t="s">
        <v>2486</v>
      </c>
      <c r="C846" s="1110" t="s">
        <v>2487</v>
      </c>
      <c r="D846" s="1106" t="s">
        <v>1989</v>
      </c>
      <c r="E846" s="1107" t="s">
        <v>1047</v>
      </c>
      <c r="F846" s="1099" t="s">
        <v>2249</v>
      </c>
      <c r="H846">
        <v>1</v>
      </c>
      <c r="I846" t="s">
        <v>1046</v>
      </c>
    </row>
    <row r="847" spans="1:9" ht="13.5" thickBot="1" x14ac:dyDescent="0.25">
      <c r="A847" s="1108">
        <v>604.64</v>
      </c>
      <c r="B847" s="1109" t="s">
        <v>2488</v>
      </c>
      <c r="C847" s="1110" t="s">
        <v>2489</v>
      </c>
      <c r="D847" s="1106" t="s">
        <v>1989</v>
      </c>
      <c r="E847" s="1107" t="s">
        <v>1047</v>
      </c>
      <c r="H847">
        <v>1</v>
      </c>
      <c r="I847" t="s">
        <v>1046</v>
      </c>
    </row>
    <row r="848" spans="1:9" ht="13.5" thickBot="1" x14ac:dyDescent="0.25">
      <c r="A848" s="1108">
        <v>604.65</v>
      </c>
      <c r="B848" s="1109" t="s">
        <v>2490</v>
      </c>
      <c r="C848" s="1110" t="s">
        <v>2491</v>
      </c>
      <c r="D848" s="1106" t="s">
        <v>1989</v>
      </c>
      <c r="E848" s="1107" t="s">
        <v>1047</v>
      </c>
      <c r="H848">
        <v>1</v>
      </c>
      <c r="I848" t="s">
        <v>1046</v>
      </c>
    </row>
    <row r="849" spans="1:9" ht="13.5" thickBot="1" x14ac:dyDescent="0.25">
      <c r="A849" s="1108">
        <v>604.66</v>
      </c>
      <c r="B849" s="1109" t="s">
        <v>2492</v>
      </c>
      <c r="C849" s="1110" t="s">
        <v>2493</v>
      </c>
      <c r="D849" s="1106" t="s">
        <v>1989</v>
      </c>
      <c r="E849" s="1107" t="s">
        <v>1047</v>
      </c>
      <c r="H849">
        <v>1</v>
      </c>
      <c r="I849" t="s">
        <v>1046</v>
      </c>
    </row>
    <row r="850" spans="1:9" ht="13.5" thickBot="1" x14ac:dyDescent="0.25">
      <c r="A850" s="1108">
        <v>604.66999999999996</v>
      </c>
      <c r="B850" s="1109" t="s">
        <v>2494</v>
      </c>
      <c r="C850" s="1110" t="s">
        <v>2495</v>
      </c>
      <c r="D850" s="1106" t="s">
        <v>1989</v>
      </c>
      <c r="E850" s="1107" t="s">
        <v>1047</v>
      </c>
      <c r="H850">
        <v>1</v>
      </c>
      <c r="I850" t="s">
        <v>1046</v>
      </c>
    </row>
    <row r="851" spans="1:9" ht="13.5" thickBot="1" x14ac:dyDescent="0.25">
      <c r="A851" s="1108">
        <v>604.67999999999995</v>
      </c>
      <c r="B851" s="1109" t="s">
        <v>2496</v>
      </c>
      <c r="C851" s="1110" t="s">
        <v>2497</v>
      </c>
      <c r="D851" s="1106" t="s">
        <v>1989</v>
      </c>
      <c r="E851" s="1107" t="s">
        <v>1047</v>
      </c>
      <c r="H851">
        <v>1</v>
      </c>
      <c r="I851" t="s">
        <v>1046</v>
      </c>
    </row>
    <row r="852" spans="1:9" ht="13.5" thickBot="1" x14ac:dyDescent="0.25">
      <c r="A852" s="1108">
        <v>604.69000000000005</v>
      </c>
      <c r="B852" s="1109" t="s">
        <v>2498</v>
      </c>
      <c r="C852" s="1110" t="s">
        <v>2499</v>
      </c>
      <c r="D852" s="1106" t="s">
        <v>1989</v>
      </c>
      <c r="E852" s="1107" t="s">
        <v>1047</v>
      </c>
      <c r="H852">
        <v>1</v>
      </c>
      <c r="I852" t="s">
        <v>1046</v>
      </c>
    </row>
    <row r="853" spans="1:9" ht="13.5" thickBot="1" x14ac:dyDescent="0.25">
      <c r="A853" s="1108">
        <v>604.70000000000005</v>
      </c>
      <c r="B853" s="1109" t="s">
        <v>2500</v>
      </c>
      <c r="C853" s="1110" t="s">
        <v>2501</v>
      </c>
      <c r="D853" s="1106" t="s">
        <v>1989</v>
      </c>
      <c r="E853" s="1107" t="s">
        <v>1047</v>
      </c>
      <c r="H853">
        <v>1</v>
      </c>
      <c r="I853" t="s">
        <v>1046</v>
      </c>
    </row>
    <row r="854" spans="1:9" ht="13.5" thickBot="1" x14ac:dyDescent="0.25">
      <c r="A854" s="1108">
        <v>604.71</v>
      </c>
      <c r="B854" s="1109" t="s">
        <v>2502</v>
      </c>
      <c r="C854" s="1110" t="s">
        <v>2503</v>
      </c>
      <c r="D854" s="1106" t="s">
        <v>1989</v>
      </c>
      <c r="E854" s="1107" t="s">
        <v>1047</v>
      </c>
      <c r="H854">
        <v>1</v>
      </c>
      <c r="I854" t="s">
        <v>1046</v>
      </c>
    </row>
    <row r="855" spans="1:9" ht="13.5" thickBot="1" x14ac:dyDescent="0.25">
      <c r="A855" s="1108">
        <v>604.72</v>
      </c>
      <c r="B855" s="1109" t="s">
        <v>2504</v>
      </c>
      <c r="C855" s="1110" t="s">
        <v>2505</v>
      </c>
      <c r="D855" s="1106" t="s">
        <v>1989</v>
      </c>
      <c r="E855" s="1107" t="s">
        <v>1047</v>
      </c>
      <c r="H855">
        <v>1</v>
      </c>
      <c r="I855" t="s">
        <v>1046</v>
      </c>
    </row>
    <row r="856" spans="1:9" ht="13.5" thickBot="1" x14ac:dyDescent="0.25">
      <c r="A856" s="1108">
        <v>604.72</v>
      </c>
      <c r="B856" s="1109" t="s">
        <v>2506</v>
      </c>
      <c r="C856" s="1110" t="s">
        <v>2507</v>
      </c>
      <c r="D856" s="1106" t="s">
        <v>1989</v>
      </c>
      <c r="E856" s="1107" t="s">
        <v>1047</v>
      </c>
      <c r="H856">
        <v>1</v>
      </c>
      <c r="I856" t="s">
        <v>1046</v>
      </c>
    </row>
    <row r="857" spans="1:9" ht="13.5" thickBot="1" x14ac:dyDescent="0.25">
      <c r="A857" s="1108">
        <v>604.73</v>
      </c>
      <c r="B857" s="1109" t="s">
        <v>2508</v>
      </c>
      <c r="C857" s="1110" t="s">
        <v>2509</v>
      </c>
      <c r="D857" s="1106" t="s">
        <v>1989</v>
      </c>
      <c r="E857" s="1107" t="s">
        <v>1047</v>
      </c>
      <c r="H857">
        <v>1</v>
      </c>
      <c r="I857" t="s">
        <v>1046</v>
      </c>
    </row>
    <row r="858" spans="1:9" ht="13.5" thickBot="1" x14ac:dyDescent="0.25">
      <c r="A858" s="1108">
        <v>604.73</v>
      </c>
      <c r="B858" s="1109" t="s">
        <v>2510</v>
      </c>
      <c r="C858" s="1110" t="s">
        <v>2511</v>
      </c>
      <c r="D858" s="1106" t="s">
        <v>1989</v>
      </c>
      <c r="E858" s="1107" t="s">
        <v>1047</v>
      </c>
      <c r="H858">
        <v>1</v>
      </c>
      <c r="I858" t="s">
        <v>1046</v>
      </c>
    </row>
    <row r="859" spans="1:9" ht="13.5" thickBot="1" x14ac:dyDescent="0.25">
      <c r="A859" s="1108">
        <v>604.73</v>
      </c>
      <c r="B859" s="1109" t="s">
        <v>2512</v>
      </c>
      <c r="C859" s="1110" t="s">
        <v>2513</v>
      </c>
      <c r="D859" s="1106" t="s">
        <v>1989</v>
      </c>
      <c r="E859" s="1107" t="s">
        <v>1047</v>
      </c>
      <c r="H859">
        <v>1</v>
      </c>
      <c r="I859" t="s">
        <v>1046</v>
      </c>
    </row>
    <row r="860" spans="1:9" ht="13.5" thickBot="1" x14ac:dyDescent="0.25">
      <c r="A860" s="1108">
        <v>604.82000000000005</v>
      </c>
      <c r="B860" s="1109" t="s">
        <v>2514</v>
      </c>
      <c r="C860" s="1110" t="s">
        <v>2515</v>
      </c>
      <c r="D860" s="1106" t="s">
        <v>1989</v>
      </c>
      <c r="E860" s="1107" t="s">
        <v>1047</v>
      </c>
      <c r="H860">
        <v>1</v>
      </c>
      <c r="I860" t="s">
        <v>1046</v>
      </c>
    </row>
    <row r="861" spans="1:9" ht="13.5" thickBot="1" x14ac:dyDescent="0.25">
      <c r="A861" s="1108">
        <v>604.80999999999995</v>
      </c>
      <c r="B861" s="1109" t="s">
        <v>2516</v>
      </c>
      <c r="C861" s="1110" t="s">
        <v>2517</v>
      </c>
      <c r="D861" s="1106" t="s">
        <v>1989</v>
      </c>
      <c r="E861" s="1107" t="s">
        <v>1047</v>
      </c>
      <c r="F861" s="1099" t="s">
        <v>2249</v>
      </c>
      <c r="H861">
        <v>1</v>
      </c>
      <c r="I861" t="s">
        <v>1046</v>
      </c>
    </row>
    <row r="862" spans="1:9" ht="13.5" thickBot="1" x14ac:dyDescent="0.25">
      <c r="A862" s="1108">
        <v>601.75</v>
      </c>
      <c r="B862" s="1109" t="s">
        <v>2518</v>
      </c>
      <c r="C862" s="1110" t="s">
        <v>2519</v>
      </c>
      <c r="D862" s="1106" t="s">
        <v>1989</v>
      </c>
      <c r="E862" s="1107" t="s">
        <v>1047</v>
      </c>
      <c r="H862">
        <v>1</v>
      </c>
      <c r="I862" t="s">
        <v>1046</v>
      </c>
    </row>
    <row r="863" spans="1:9" ht="13.5" thickBot="1" x14ac:dyDescent="0.25">
      <c r="A863" s="1108">
        <v>601.75</v>
      </c>
      <c r="B863" s="1109" t="s">
        <v>2520</v>
      </c>
      <c r="C863" s="1110" t="s">
        <v>2521</v>
      </c>
      <c r="D863" s="1106" t="s">
        <v>1989</v>
      </c>
      <c r="E863" s="1107" t="s">
        <v>1047</v>
      </c>
      <c r="H863">
        <v>1</v>
      </c>
      <c r="I863" t="s">
        <v>1046</v>
      </c>
    </row>
    <row r="864" spans="1:9" ht="13.5" thickBot="1" x14ac:dyDescent="0.25">
      <c r="A864" s="1108">
        <v>604.74</v>
      </c>
      <c r="B864" s="1109" t="s">
        <v>2522</v>
      </c>
      <c r="C864" s="1110" t="s">
        <v>2523</v>
      </c>
      <c r="D864" s="1106" t="s">
        <v>1989</v>
      </c>
      <c r="E864" s="1107" t="s">
        <v>1047</v>
      </c>
      <c r="H864">
        <v>1</v>
      </c>
      <c r="I864" t="s">
        <v>1046</v>
      </c>
    </row>
    <row r="865" spans="1:9" ht="13.5" thickBot="1" x14ac:dyDescent="0.25">
      <c r="A865" s="1108">
        <v>604.76</v>
      </c>
      <c r="B865" s="1109" t="s">
        <v>2524</v>
      </c>
      <c r="C865" s="1110" t="s">
        <v>2525</v>
      </c>
      <c r="D865" s="1106" t="s">
        <v>1989</v>
      </c>
      <c r="E865" s="1107" t="s">
        <v>1047</v>
      </c>
      <c r="H865">
        <v>1</v>
      </c>
      <c r="I865" t="s">
        <v>1046</v>
      </c>
    </row>
    <row r="866" spans="1:9" ht="13.5" thickBot="1" x14ac:dyDescent="0.25">
      <c r="A866" s="1108">
        <v>604.79</v>
      </c>
      <c r="B866" s="1109" t="s">
        <v>2526</v>
      </c>
      <c r="C866" s="1110" t="s">
        <v>2527</v>
      </c>
      <c r="D866" s="1106" t="s">
        <v>1989</v>
      </c>
      <c r="E866" s="1107" t="s">
        <v>1047</v>
      </c>
      <c r="H866">
        <v>1</v>
      </c>
      <c r="I866" t="s">
        <v>1046</v>
      </c>
    </row>
    <row r="867" spans="1:9" ht="13.5" thickBot="1" x14ac:dyDescent="0.25">
      <c r="A867" s="1108">
        <v>604.80999999999995</v>
      </c>
      <c r="B867" s="1109" t="s">
        <v>2528</v>
      </c>
      <c r="C867" s="1110" t="s">
        <v>2529</v>
      </c>
      <c r="D867" s="1106" t="s">
        <v>1989</v>
      </c>
      <c r="E867" s="1107" t="s">
        <v>1047</v>
      </c>
      <c r="F867" s="1099" t="s">
        <v>2249</v>
      </c>
      <c r="H867">
        <v>1</v>
      </c>
      <c r="I867" t="s">
        <v>1046</v>
      </c>
    </row>
    <row r="868" spans="1:9" ht="13.5" thickBot="1" x14ac:dyDescent="0.25">
      <c r="A868" s="1108">
        <v>612.01</v>
      </c>
      <c r="B868" s="1109" t="s">
        <v>2530</v>
      </c>
      <c r="C868" s="1144" t="s">
        <v>2531</v>
      </c>
      <c r="D868" s="1106" t="s">
        <v>1989</v>
      </c>
      <c r="E868" s="1107" t="s">
        <v>1047</v>
      </c>
      <c r="F868" s="1099" t="s">
        <v>2249</v>
      </c>
      <c r="H868">
        <v>1</v>
      </c>
      <c r="I868" t="s">
        <v>1046</v>
      </c>
    </row>
    <row r="869" spans="1:9" ht="13.5" thickBot="1" x14ac:dyDescent="0.25">
      <c r="A869" s="1108">
        <v>604.80999999999995</v>
      </c>
      <c r="B869" s="1109" t="s">
        <v>2532</v>
      </c>
      <c r="C869" s="1110" t="s">
        <v>2533</v>
      </c>
      <c r="D869" s="1106" t="s">
        <v>1989</v>
      </c>
      <c r="E869" s="1107" t="s">
        <v>1047</v>
      </c>
      <c r="F869" s="1099" t="s">
        <v>2249</v>
      </c>
      <c r="H869">
        <v>1</v>
      </c>
      <c r="I869" t="s">
        <v>1046</v>
      </c>
    </row>
    <row r="870" spans="1:9" ht="13.5" thickBot="1" x14ac:dyDescent="0.25">
      <c r="A870" s="1157">
        <v>604.82000000000005</v>
      </c>
      <c r="B870" s="1109" t="s">
        <v>2534</v>
      </c>
      <c r="C870" s="1137" t="s">
        <v>2535</v>
      </c>
      <c r="D870" s="1106" t="s">
        <v>1989</v>
      </c>
      <c r="E870" s="1107" t="s">
        <v>1047</v>
      </c>
      <c r="H870">
        <v>1</v>
      </c>
      <c r="I870" t="s">
        <v>1046</v>
      </c>
    </row>
    <row r="871" spans="1:9" ht="13.5" thickBot="1" x14ac:dyDescent="0.25">
      <c r="A871" s="1108">
        <v>606.01</v>
      </c>
      <c r="B871" s="1109" t="s">
        <v>2536</v>
      </c>
      <c r="C871" s="1110" t="s">
        <v>2537</v>
      </c>
      <c r="D871" s="1106" t="s">
        <v>1989</v>
      </c>
      <c r="E871" s="1107" t="s">
        <v>1047</v>
      </c>
      <c r="H871">
        <v>1</v>
      </c>
      <c r="I871" t="s">
        <v>1046</v>
      </c>
    </row>
    <row r="872" spans="1:9" s="1146" customFormat="1" ht="13.5" thickBot="1" x14ac:dyDescent="0.25">
      <c r="A872" s="1158">
        <v>601</v>
      </c>
      <c r="B872" s="1104" t="s">
        <v>2538</v>
      </c>
      <c r="C872" s="1159" t="s">
        <v>2539</v>
      </c>
      <c r="D872" s="1106" t="s">
        <v>1989</v>
      </c>
      <c r="E872" s="1139"/>
      <c r="F872" s="1149"/>
    </row>
    <row r="873" spans="1:9" ht="13.5" thickBot="1" x14ac:dyDescent="0.25">
      <c r="A873" s="1108">
        <v>601.01</v>
      </c>
      <c r="B873" s="1131" t="s">
        <v>2540</v>
      </c>
      <c r="C873" s="1110" t="s">
        <v>2210</v>
      </c>
      <c r="D873" s="1106" t="s">
        <v>1989</v>
      </c>
      <c r="E873" s="1107" t="s">
        <v>1047</v>
      </c>
      <c r="H873">
        <v>1</v>
      </c>
      <c r="I873" t="s">
        <v>1046</v>
      </c>
    </row>
    <row r="874" spans="1:9" ht="13.5" thickBot="1" x14ac:dyDescent="0.25">
      <c r="A874" s="1108">
        <v>601.02</v>
      </c>
      <c r="B874" s="1131" t="s">
        <v>2541</v>
      </c>
      <c r="C874" s="1110" t="s">
        <v>2212</v>
      </c>
      <c r="D874" s="1106" t="s">
        <v>1989</v>
      </c>
      <c r="E874" s="1107" t="s">
        <v>1047</v>
      </c>
      <c r="H874">
        <v>1</v>
      </c>
      <c r="I874" t="s">
        <v>1046</v>
      </c>
    </row>
    <row r="875" spans="1:9" ht="13.5" thickBot="1" x14ac:dyDescent="0.25">
      <c r="A875" s="1108">
        <v>601.03</v>
      </c>
      <c r="B875" s="1131" t="s">
        <v>2542</v>
      </c>
      <c r="C875" s="1110" t="s">
        <v>2214</v>
      </c>
      <c r="D875" s="1106" t="s">
        <v>1989</v>
      </c>
      <c r="E875" s="1107" t="s">
        <v>1047</v>
      </c>
      <c r="H875">
        <v>1</v>
      </c>
      <c r="I875" t="s">
        <v>1046</v>
      </c>
    </row>
    <row r="876" spans="1:9" ht="13.5" thickBot="1" x14ac:dyDescent="0.25">
      <c r="A876" s="1108">
        <v>601.04</v>
      </c>
      <c r="B876" s="1131" t="s">
        <v>2543</v>
      </c>
      <c r="C876" s="1110" t="s">
        <v>2216</v>
      </c>
      <c r="D876" s="1106" t="s">
        <v>1989</v>
      </c>
      <c r="E876" s="1107" t="s">
        <v>1047</v>
      </c>
      <c r="H876">
        <v>1</v>
      </c>
      <c r="I876" t="s">
        <v>1046</v>
      </c>
    </row>
    <row r="877" spans="1:9" ht="13.5" thickBot="1" x14ac:dyDescent="0.25">
      <c r="A877" s="1108">
        <v>601.04999999999995</v>
      </c>
      <c r="B877" s="1131" t="s">
        <v>2544</v>
      </c>
      <c r="C877" s="1110" t="s">
        <v>2218</v>
      </c>
      <c r="D877" s="1106" t="s">
        <v>1989</v>
      </c>
      <c r="E877" s="1107" t="s">
        <v>1047</v>
      </c>
      <c r="H877">
        <v>1</v>
      </c>
      <c r="I877" t="s">
        <v>1046</v>
      </c>
    </row>
    <row r="878" spans="1:9" ht="13.5" thickBot="1" x14ac:dyDescent="0.25">
      <c r="A878" s="1108">
        <v>601.05999999999995</v>
      </c>
      <c r="B878" s="1109" t="s">
        <v>2545</v>
      </c>
      <c r="C878" s="1110" t="s">
        <v>2220</v>
      </c>
      <c r="D878" s="1106" t="s">
        <v>1989</v>
      </c>
      <c r="E878" s="1107" t="s">
        <v>1047</v>
      </c>
      <c r="H878">
        <v>1</v>
      </c>
      <c r="I878" t="s">
        <v>1046</v>
      </c>
    </row>
    <row r="879" spans="1:9" ht="13.5" thickBot="1" x14ac:dyDescent="0.25">
      <c r="A879" s="1108">
        <v>601.07000000000005</v>
      </c>
      <c r="B879" s="1109" t="s">
        <v>2546</v>
      </c>
      <c r="C879" s="1110" t="s">
        <v>2222</v>
      </c>
      <c r="D879" s="1106" t="s">
        <v>1989</v>
      </c>
      <c r="E879" s="1107" t="s">
        <v>1047</v>
      </c>
      <c r="H879">
        <v>1</v>
      </c>
      <c r="I879" t="s">
        <v>1046</v>
      </c>
    </row>
    <row r="880" spans="1:9" ht="13.5" thickBot="1" x14ac:dyDescent="0.25">
      <c r="A880" s="1108">
        <v>601.08000000000004</v>
      </c>
      <c r="B880" s="1109" t="s">
        <v>2547</v>
      </c>
      <c r="C880" s="1110" t="s">
        <v>2224</v>
      </c>
      <c r="D880" s="1106" t="s">
        <v>1989</v>
      </c>
      <c r="E880" s="1107" t="s">
        <v>1047</v>
      </c>
      <c r="H880">
        <v>1</v>
      </c>
      <c r="I880" t="s">
        <v>1046</v>
      </c>
    </row>
    <row r="881" spans="1:9" ht="13.5" thickBot="1" x14ac:dyDescent="0.25">
      <c r="A881" s="1108">
        <v>601.09</v>
      </c>
      <c r="B881" s="1109" t="s">
        <v>2548</v>
      </c>
      <c r="C881" s="1110" t="s">
        <v>2226</v>
      </c>
      <c r="D881" s="1106" t="s">
        <v>1989</v>
      </c>
      <c r="E881" s="1107" t="s">
        <v>1047</v>
      </c>
      <c r="H881">
        <v>1</v>
      </c>
      <c r="I881" t="s">
        <v>1046</v>
      </c>
    </row>
    <row r="882" spans="1:9" ht="13.5" thickBot="1" x14ac:dyDescent="0.25">
      <c r="A882" s="1108">
        <v>601.1</v>
      </c>
      <c r="B882" s="1109" t="s">
        <v>2549</v>
      </c>
      <c r="C882" s="1110" t="s">
        <v>2228</v>
      </c>
      <c r="D882" s="1106" t="s">
        <v>1989</v>
      </c>
      <c r="E882" s="1107" t="s">
        <v>1047</v>
      </c>
      <c r="H882">
        <v>1</v>
      </c>
      <c r="I882" t="s">
        <v>1046</v>
      </c>
    </row>
    <row r="883" spans="1:9" ht="13.5" thickBot="1" x14ac:dyDescent="0.25">
      <c r="A883" s="1108">
        <v>601.11</v>
      </c>
      <c r="B883" s="1109" t="s">
        <v>2550</v>
      </c>
      <c r="C883" s="1110" t="s">
        <v>2230</v>
      </c>
      <c r="D883" s="1106" t="s">
        <v>1989</v>
      </c>
      <c r="E883" s="1107" t="s">
        <v>1047</v>
      </c>
      <c r="H883">
        <v>1</v>
      </c>
      <c r="I883" t="s">
        <v>1046</v>
      </c>
    </row>
    <row r="884" spans="1:9" ht="13.5" thickBot="1" x14ac:dyDescent="0.25">
      <c r="A884" s="1108">
        <v>601.12</v>
      </c>
      <c r="B884" s="1109" t="s">
        <v>2551</v>
      </c>
      <c r="C884" s="1110" t="s">
        <v>2232</v>
      </c>
      <c r="D884" s="1106" t="s">
        <v>1989</v>
      </c>
      <c r="E884" s="1107" t="s">
        <v>1047</v>
      </c>
      <c r="H884">
        <v>1</v>
      </c>
      <c r="I884" t="s">
        <v>1046</v>
      </c>
    </row>
    <row r="885" spans="1:9" ht="13.5" thickBot="1" x14ac:dyDescent="0.25">
      <c r="A885" s="1108">
        <v>601.13</v>
      </c>
      <c r="B885" s="1109" t="s">
        <v>2552</v>
      </c>
      <c r="C885" s="1110" t="s">
        <v>2234</v>
      </c>
      <c r="D885" s="1106" t="s">
        <v>1989</v>
      </c>
      <c r="E885" s="1107" t="s">
        <v>1047</v>
      </c>
      <c r="H885">
        <v>1</v>
      </c>
      <c r="I885" t="s">
        <v>1046</v>
      </c>
    </row>
    <row r="886" spans="1:9" ht="13.5" thickBot="1" x14ac:dyDescent="0.25">
      <c r="A886" s="1108">
        <v>601.14</v>
      </c>
      <c r="B886" s="1109" t="s">
        <v>2553</v>
      </c>
      <c r="C886" s="1110" t="s">
        <v>2236</v>
      </c>
      <c r="D886" s="1106" t="s">
        <v>1989</v>
      </c>
      <c r="E886" s="1107" t="s">
        <v>1047</v>
      </c>
      <c r="H886">
        <v>1</v>
      </c>
      <c r="I886" t="s">
        <v>1046</v>
      </c>
    </row>
    <row r="887" spans="1:9" ht="13.5" thickBot="1" x14ac:dyDescent="0.25">
      <c r="A887" s="1108">
        <v>601.15</v>
      </c>
      <c r="B887" s="1109" t="s">
        <v>2554</v>
      </c>
      <c r="C887" s="1110" t="s">
        <v>2238</v>
      </c>
      <c r="D887" s="1106" t="s">
        <v>1989</v>
      </c>
      <c r="E887" s="1107" t="s">
        <v>1047</v>
      </c>
      <c r="H887">
        <v>1</v>
      </c>
      <c r="I887" t="s">
        <v>1046</v>
      </c>
    </row>
    <row r="888" spans="1:9" ht="13.5" thickBot="1" x14ac:dyDescent="0.25">
      <c r="A888" s="1108">
        <v>601.16</v>
      </c>
      <c r="B888" s="1109" t="s">
        <v>2555</v>
      </c>
      <c r="C888" s="1110" t="s">
        <v>2240</v>
      </c>
      <c r="D888" s="1106" t="s">
        <v>1989</v>
      </c>
      <c r="E888" s="1107" t="s">
        <v>1047</v>
      </c>
      <c r="H888">
        <v>1</v>
      </c>
      <c r="I888" t="s">
        <v>1046</v>
      </c>
    </row>
    <row r="889" spans="1:9" ht="13.5" thickBot="1" x14ac:dyDescent="0.25">
      <c r="A889" s="1108">
        <v>601.16999999999996</v>
      </c>
      <c r="B889" s="1109" t="s">
        <v>2556</v>
      </c>
      <c r="C889" s="1110" t="s">
        <v>2242</v>
      </c>
      <c r="D889" s="1106" t="s">
        <v>1989</v>
      </c>
      <c r="E889" s="1107" t="s">
        <v>1047</v>
      </c>
      <c r="H889">
        <v>1</v>
      </c>
      <c r="I889" t="s">
        <v>1046</v>
      </c>
    </row>
    <row r="890" spans="1:9" ht="13.5" thickBot="1" x14ac:dyDescent="0.25">
      <c r="A890" s="1108">
        <v>601.17999999999995</v>
      </c>
      <c r="B890" s="1109" t="s">
        <v>2557</v>
      </c>
      <c r="C890" s="1110" t="s">
        <v>2244</v>
      </c>
      <c r="D890" s="1106" t="s">
        <v>1989</v>
      </c>
      <c r="E890" s="1107" t="s">
        <v>1047</v>
      </c>
      <c r="H890">
        <v>1</v>
      </c>
      <c r="I890" t="s">
        <v>1046</v>
      </c>
    </row>
    <row r="891" spans="1:9" ht="13.5" thickBot="1" x14ac:dyDescent="0.25">
      <c r="A891" s="1108">
        <v>601.19000000000005</v>
      </c>
      <c r="B891" s="1109" t="s">
        <v>2558</v>
      </c>
      <c r="C891" s="1110" t="s">
        <v>2246</v>
      </c>
      <c r="D891" s="1106" t="s">
        <v>1989</v>
      </c>
      <c r="E891" s="1107" t="s">
        <v>1047</v>
      </c>
      <c r="H891">
        <v>1</v>
      </c>
      <c r="I891" t="s">
        <v>1046</v>
      </c>
    </row>
    <row r="892" spans="1:9" ht="13.5" thickBot="1" x14ac:dyDescent="0.25">
      <c r="A892" s="1108">
        <v>601.20000000000005</v>
      </c>
      <c r="B892" s="1109" t="s">
        <v>2559</v>
      </c>
      <c r="C892" s="1110" t="s">
        <v>2248</v>
      </c>
      <c r="D892" s="1106" t="s">
        <v>1989</v>
      </c>
      <c r="E892" s="1107" t="s">
        <v>1047</v>
      </c>
      <c r="H892">
        <v>1</v>
      </c>
      <c r="I892" t="s">
        <v>1046</v>
      </c>
    </row>
    <row r="893" spans="1:9" ht="13.5" thickBot="1" x14ac:dyDescent="0.25">
      <c r="A893" s="1108">
        <v>601.21</v>
      </c>
      <c r="B893" s="1109" t="s">
        <v>2560</v>
      </c>
      <c r="C893" s="1110" t="s">
        <v>2251</v>
      </c>
      <c r="D893" s="1106" t="s">
        <v>1989</v>
      </c>
      <c r="E893" s="1107" t="s">
        <v>1047</v>
      </c>
      <c r="H893">
        <v>1</v>
      </c>
      <c r="I893" t="s">
        <v>1046</v>
      </c>
    </row>
    <row r="894" spans="1:9" ht="13.5" thickBot="1" x14ac:dyDescent="0.25">
      <c r="A894" s="1108">
        <v>601.22</v>
      </c>
      <c r="B894" s="1109" t="s">
        <v>2561</v>
      </c>
      <c r="C894" s="1110" t="s">
        <v>2253</v>
      </c>
      <c r="D894" s="1106" t="s">
        <v>1989</v>
      </c>
      <c r="E894" s="1107" t="s">
        <v>1047</v>
      </c>
      <c r="H894">
        <v>1</v>
      </c>
      <c r="I894" t="s">
        <v>1046</v>
      </c>
    </row>
    <row r="895" spans="1:9" ht="13.5" thickBot="1" x14ac:dyDescent="0.25">
      <c r="A895" s="1108">
        <v>601.23</v>
      </c>
      <c r="B895" s="1109" t="s">
        <v>2562</v>
      </c>
      <c r="C895" s="1110" t="s">
        <v>2255</v>
      </c>
      <c r="D895" s="1106" t="s">
        <v>1989</v>
      </c>
      <c r="E895" s="1107" t="s">
        <v>1047</v>
      </c>
      <c r="H895">
        <v>1</v>
      </c>
      <c r="I895" t="s">
        <v>1046</v>
      </c>
    </row>
    <row r="896" spans="1:9" ht="13.5" thickBot="1" x14ac:dyDescent="0.25">
      <c r="A896" s="1108">
        <v>601.24</v>
      </c>
      <c r="B896" s="1109" t="s">
        <v>2563</v>
      </c>
      <c r="C896" s="1110" t="s">
        <v>2257</v>
      </c>
      <c r="D896" s="1106" t="s">
        <v>1989</v>
      </c>
      <c r="E896" s="1107" t="s">
        <v>1047</v>
      </c>
      <c r="H896">
        <v>1</v>
      </c>
      <c r="I896" t="s">
        <v>1046</v>
      </c>
    </row>
    <row r="897" spans="1:9" ht="13.5" thickBot="1" x14ac:dyDescent="0.25">
      <c r="A897" s="1108">
        <v>601.25</v>
      </c>
      <c r="B897" s="1109" t="s">
        <v>2564</v>
      </c>
      <c r="C897" s="1110" t="s">
        <v>2259</v>
      </c>
      <c r="D897" s="1106" t="s">
        <v>1989</v>
      </c>
      <c r="E897" s="1107" t="s">
        <v>1047</v>
      </c>
      <c r="H897">
        <v>1</v>
      </c>
      <c r="I897" t="s">
        <v>1046</v>
      </c>
    </row>
    <row r="898" spans="1:9" ht="13.5" thickBot="1" x14ac:dyDescent="0.25">
      <c r="A898" s="1108">
        <v>601.26</v>
      </c>
      <c r="B898" s="1109" t="s">
        <v>2565</v>
      </c>
      <c r="C898" s="1110" t="s">
        <v>2261</v>
      </c>
      <c r="D898" s="1106" t="s">
        <v>1989</v>
      </c>
      <c r="E898" s="1107" t="s">
        <v>1047</v>
      </c>
      <c r="H898">
        <v>1</v>
      </c>
      <c r="I898" t="s">
        <v>1046</v>
      </c>
    </row>
    <row r="899" spans="1:9" ht="13.5" thickBot="1" x14ac:dyDescent="0.25">
      <c r="A899" s="1108">
        <v>601.27</v>
      </c>
      <c r="B899" s="1109" t="s">
        <v>2566</v>
      </c>
      <c r="C899" s="1110" t="s">
        <v>2263</v>
      </c>
      <c r="D899" s="1106" t="s">
        <v>1989</v>
      </c>
      <c r="E899" s="1107" t="s">
        <v>1047</v>
      </c>
      <c r="H899">
        <v>1</v>
      </c>
      <c r="I899" t="s">
        <v>1046</v>
      </c>
    </row>
    <row r="900" spans="1:9" ht="13.5" thickBot="1" x14ac:dyDescent="0.25">
      <c r="A900" s="1108">
        <v>601.28</v>
      </c>
      <c r="B900" s="1109" t="s">
        <v>2567</v>
      </c>
      <c r="C900" s="1110" t="s">
        <v>2265</v>
      </c>
      <c r="D900" s="1106" t="s">
        <v>1989</v>
      </c>
      <c r="E900" s="1107" t="s">
        <v>1047</v>
      </c>
      <c r="H900">
        <v>1</v>
      </c>
      <c r="I900" t="s">
        <v>1046</v>
      </c>
    </row>
    <row r="901" spans="1:9" ht="13.5" thickBot="1" x14ac:dyDescent="0.25">
      <c r="A901" s="1108">
        <v>601.29</v>
      </c>
      <c r="B901" s="1109" t="s">
        <v>2568</v>
      </c>
      <c r="C901" s="1110" t="s">
        <v>2267</v>
      </c>
      <c r="D901" s="1106" t="s">
        <v>1989</v>
      </c>
      <c r="E901" s="1107" t="s">
        <v>1047</v>
      </c>
      <c r="H901">
        <v>1</v>
      </c>
      <c r="I901" t="s">
        <v>1046</v>
      </c>
    </row>
    <row r="902" spans="1:9" ht="13.5" thickBot="1" x14ac:dyDescent="0.25">
      <c r="A902" s="1108">
        <v>601.29999999999995</v>
      </c>
      <c r="B902" s="1109" t="s">
        <v>2569</v>
      </c>
      <c r="C902" s="1110" t="s">
        <v>2269</v>
      </c>
      <c r="D902" s="1106" t="s">
        <v>1989</v>
      </c>
      <c r="E902" s="1107" t="s">
        <v>1047</v>
      </c>
      <c r="H902">
        <v>1</v>
      </c>
      <c r="I902" t="s">
        <v>1046</v>
      </c>
    </row>
    <row r="903" spans="1:9" ht="13.5" thickBot="1" x14ac:dyDescent="0.25">
      <c r="A903" s="1108">
        <v>601.30999999999995</v>
      </c>
      <c r="B903" s="1109" t="s">
        <v>2570</v>
      </c>
      <c r="C903" s="1110" t="s">
        <v>2271</v>
      </c>
      <c r="D903" s="1106" t="s">
        <v>1989</v>
      </c>
      <c r="E903" s="1107" t="s">
        <v>1047</v>
      </c>
      <c r="H903">
        <v>1</v>
      </c>
      <c r="I903" t="s">
        <v>1046</v>
      </c>
    </row>
    <row r="904" spans="1:9" ht="13.5" thickBot="1" x14ac:dyDescent="0.25">
      <c r="A904" s="1108">
        <v>601.30999999999995</v>
      </c>
      <c r="B904" s="1109" t="s">
        <v>2571</v>
      </c>
      <c r="C904" s="1110" t="s">
        <v>2273</v>
      </c>
      <c r="D904" s="1106" t="s">
        <v>1989</v>
      </c>
      <c r="E904" s="1107" t="s">
        <v>1047</v>
      </c>
      <c r="H904">
        <v>1</v>
      </c>
      <c r="I904" t="s">
        <v>1046</v>
      </c>
    </row>
    <row r="905" spans="1:9" ht="13.5" thickBot="1" x14ac:dyDescent="0.25">
      <c r="A905" s="1108">
        <v>601.30999999999995</v>
      </c>
      <c r="B905" s="1109" t="s">
        <v>2572</v>
      </c>
      <c r="C905" s="1110" t="s">
        <v>2275</v>
      </c>
      <c r="D905" s="1106" t="s">
        <v>1989</v>
      </c>
      <c r="E905" s="1107" t="s">
        <v>1047</v>
      </c>
      <c r="H905">
        <v>1</v>
      </c>
      <c r="I905" t="s">
        <v>1046</v>
      </c>
    </row>
    <row r="906" spans="1:9" ht="13.5" thickBot="1" x14ac:dyDescent="0.25">
      <c r="A906" s="1108">
        <v>601.30999999999995</v>
      </c>
      <c r="B906" s="1109" t="s">
        <v>2573</v>
      </c>
      <c r="C906" s="1110" t="s">
        <v>2277</v>
      </c>
      <c r="D906" s="1106" t="s">
        <v>1989</v>
      </c>
      <c r="E906" s="1107" t="s">
        <v>1047</v>
      </c>
      <c r="H906">
        <v>1</v>
      </c>
      <c r="I906" t="s">
        <v>1046</v>
      </c>
    </row>
    <row r="907" spans="1:9" ht="13.5" thickBot="1" x14ac:dyDescent="0.25">
      <c r="A907" s="1108">
        <v>601.32000000000005</v>
      </c>
      <c r="B907" s="1109" t="s">
        <v>2574</v>
      </c>
      <c r="C907" s="1110" t="s">
        <v>2279</v>
      </c>
      <c r="D907" s="1106" t="s">
        <v>1989</v>
      </c>
      <c r="E907" s="1107" t="s">
        <v>1047</v>
      </c>
      <c r="H907">
        <v>1</v>
      </c>
      <c r="I907" t="s">
        <v>1046</v>
      </c>
    </row>
    <row r="908" spans="1:9" ht="13.5" thickBot="1" x14ac:dyDescent="0.25">
      <c r="A908" s="1108">
        <v>601.33000000000004</v>
      </c>
      <c r="B908" s="1109" t="s">
        <v>2575</v>
      </c>
      <c r="C908" s="1110" t="s">
        <v>2281</v>
      </c>
      <c r="D908" s="1106" t="s">
        <v>1989</v>
      </c>
      <c r="E908" s="1107" t="s">
        <v>1047</v>
      </c>
      <c r="H908">
        <v>1</v>
      </c>
      <c r="I908" t="s">
        <v>1046</v>
      </c>
    </row>
    <row r="909" spans="1:9" ht="13.5" thickBot="1" x14ac:dyDescent="0.25">
      <c r="A909" s="1108">
        <v>601.34</v>
      </c>
      <c r="B909" s="1109" t="s">
        <v>2576</v>
      </c>
      <c r="C909" s="1110" t="s">
        <v>2283</v>
      </c>
      <c r="D909" s="1106" t="s">
        <v>1989</v>
      </c>
      <c r="E909" s="1107" t="s">
        <v>1047</v>
      </c>
      <c r="H909">
        <v>1</v>
      </c>
      <c r="I909" t="s">
        <v>1046</v>
      </c>
    </row>
    <row r="910" spans="1:9" ht="13.5" thickBot="1" x14ac:dyDescent="0.25">
      <c r="A910" s="1108">
        <v>601.34</v>
      </c>
      <c r="B910" s="1109" t="s">
        <v>2577</v>
      </c>
      <c r="C910" s="1154" t="s">
        <v>2285</v>
      </c>
      <c r="D910" s="1106" t="s">
        <v>1989</v>
      </c>
      <c r="E910" s="1107" t="s">
        <v>1047</v>
      </c>
      <c r="H910">
        <v>1</v>
      </c>
      <c r="I910" t="s">
        <v>1046</v>
      </c>
    </row>
    <row r="911" spans="1:9" ht="13.5" thickBot="1" x14ac:dyDescent="0.25">
      <c r="A911" s="1108">
        <v>601.35</v>
      </c>
      <c r="B911" s="1109" t="s">
        <v>2578</v>
      </c>
      <c r="C911" s="1110" t="s">
        <v>2287</v>
      </c>
      <c r="D911" s="1106" t="s">
        <v>1989</v>
      </c>
      <c r="E911" s="1107" t="s">
        <v>1047</v>
      </c>
      <c r="H911">
        <v>1</v>
      </c>
      <c r="I911" t="s">
        <v>1046</v>
      </c>
    </row>
    <row r="912" spans="1:9" ht="13.5" thickBot="1" x14ac:dyDescent="0.25">
      <c r="A912" s="1108">
        <v>601.35</v>
      </c>
      <c r="B912" s="1109" t="s">
        <v>2579</v>
      </c>
      <c r="C912" s="1154" t="s">
        <v>2580</v>
      </c>
      <c r="D912" s="1106" t="s">
        <v>1989</v>
      </c>
      <c r="E912" s="1107" t="s">
        <v>1047</v>
      </c>
      <c r="H912">
        <v>1</v>
      </c>
      <c r="I912" t="s">
        <v>1046</v>
      </c>
    </row>
    <row r="913" spans="1:9" ht="13.5" thickBot="1" x14ac:dyDescent="0.25">
      <c r="A913" s="1108">
        <v>601.36</v>
      </c>
      <c r="B913" s="1109" t="s">
        <v>2581</v>
      </c>
      <c r="C913" s="1110" t="s">
        <v>2582</v>
      </c>
      <c r="D913" s="1106" t="s">
        <v>1989</v>
      </c>
      <c r="E913" s="1107" t="s">
        <v>1047</v>
      </c>
      <c r="H913">
        <v>1</v>
      </c>
      <c r="I913" t="s">
        <v>1046</v>
      </c>
    </row>
    <row r="914" spans="1:9" ht="13.5" thickBot="1" x14ac:dyDescent="0.25">
      <c r="A914" s="1108">
        <v>601.36</v>
      </c>
      <c r="B914" s="1109" t="s">
        <v>2583</v>
      </c>
      <c r="C914" s="1154" t="s">
        <v>2293</v>
      </c>
      <c r="D914" s="1106" t="s">
        <v>1989</v>
      </c>
      <c r="E914" s="1107" t="s">
        <v>1047</v>
      </c>
      <c r="H914">
        <v>1</v>
      </c>
      <c r="I914" t="s">
        <v>1046</v>
      </c>
    </row>
    <row r="915" spans="1:9" ht="13.5" thickBot="1" x14ac:dyDescent="0.25">
      <c r="A915" s="1108">
        <v>601.37</v>
      </c>
      <c r="B915" s="1109" t="s">
        <v>2584</v>
      </c>
      <c r="C915" s="1110" t="s">
        <v>2585</v>
      </c>
      <c r="D915" s="1106" t="s">
        <v>1989</v>
      </c>
      <c r="E915" s="1107" t="s">
        <v>1047</v>
      </c>
      <c r="H915">
        <v>1</v>
      </c>
      <c r="I915" t="s">
        <v>1046</v>
      </c>
    </row>
    <row r="916" spans="1:9" ht="13.5" thickBot="1" x14ac:dyDescent="0.25">
      <c r="A916" s="1108">
        <v>601.37</v>
      </c>
      <c r="B916" s="1109" t="s">
        <v>2586</v>
      </c>
      <c r="C916" s="1154" t="s">
        <v>2297</v>
      </c>
      <c r="D916" s="1106" t="s">
        <v>1989</v>
      </c>
      <c r="E916" s="1107" t="s">
        <v>1047</v>
      </c>
      <c r="H916">
        <v>1</v>
      </c>
      <c r="I916" t="s">
        <v>1046</v>
      </c>
    </row>
    <row r="917" spans="1:9" ht="13.5" thickBot="1" x14ac:dyDescent="0.25">
      <c r="A917" s="1108">
        <v>601.38</v>
      </c>
      <c r="B917" s="1109" t="s">
        <v>2587</v>
      </c>
      <c r="C917" s="1110" t="s">
        <v>2588</v>
      </c>
      <c r="D917" s="1106" t="s">
        <v>1989</v>
      </c>
      <c r="E917" s="1107" t="s">
        <v>1047</v>
      </c>
      <c r="H917">
        <v>1</v>
      </c>
      <c r="I917" t="s">
        <v>1046</v>
      </c>
    </row>
    <row r="918" spans="1:9" ht="13.5" thickBot="1" x14ac:dyDescent="0.25">
      <c r="A918" s="1108">
        <v>601.38</v>
      </c>
      <c r="B918" s="1109" t="s">
        <v>2589</v>
      </c>
      <c r="C918" s="1154" t="s">
        <v>2301</v>
      </c>
      <c r="D918" s="1106" t="s">
        <v>1989</v>
      </c>
      <c r="E918" s="1107" t="s">
        <v>1047</v>
      </c>
      <c r="H918">
        <v>1</v>
      </c>
      <c r="I918" t="s">
        <v>1046</v>
      </c>
    </row>
    <row r="919" spans="1:9" ht="13.5" thickBot="1" x14ac:dyDescent="0.25">
      <c r="A919" s="1108">
        <v>601.39</v>
      </c>
      <c r="B919" s="1109" t="s">
        <v>2590</v>
      </c>
      <c r="C919" s="1110" t="s">
        <v>2591</v>
      </c>
      <c r="D919" s="1106" t="s">
        <v>1989</v>
      </c>
      <c r="E919" s="1107" t="s">
        <v>1047</v>
      </c>
      <c r="H919">
        <v>1</v>
      </c>
      <c r="I919" t="s">
        <v>1046</v>
      </c>
    </row>
    <row r="920" spans="1:9" ht="13.5" thickBot="1" x14ac:dyDescent="0.25">
      <c r="A920" s="1108">
        <v>601.39</v>
      </c>
      <c r="B920" s="1109" t="s">
        <v>2592</v>
      </c>
      <c r="C920" s="1154" t="s">
        <v>2593</v>
      </c>
      <c r="D920" s="1106" t="s">
        <v>1989</v>
      </c>
      <c r="E920" s="1107" t="s">
        <v>1047</v>
      </c>
      <c r="H920">
        <v>1</v>
      </c>
      <c r="I920" t="s">
        <v>1046</v>
      </c>
    </row>
    <row r="921" spans="1:9" ht="13.5" thickBot="1" x14ac:dyDescent="0.25">
      <c r="A921" s="1108">
        <v>601.4</v>
      </c>
      <c r="B921" s="1109" t="s">
        <v>2594</v>
      </c>
      <c r="C921" s="1110" t="s">
        <v>2307</v>
      </c>
      <c r="D921" s="1106" t="s">
        <v>1989</v>
      </c>
      <c r="E921" s="1107" t="s">
        <v>1047</v>
      </c>
      <c r="H921">
        <v>1</v>
      </c>
      <c r="I921" t="s">
        <v>1046</v>
      </c>
    </row>
    <row r="922" spans="1:9" ht="13.5" thickBot="1" x14ac:dyDescent="0.25">
      <c r="A922" s="1108">
        <v>601.4</v>
      </c>
      <c r="B922" s="1109" t="s">
        <v>2595</v>
      </c>
      <c r="C922" s="1154" t="s">
        <v>2309</v>
      </c>
      <c r="D922" s="1106" t="s">
        <v>1989</v>
      </c>
      <c r="E922" s="1107" t="s">
        <v>1047</v>
      </c>
      <c r="H922">
        <v>1</v>
      </c>
      <c r="I922" t="s">
        <v>1046</v>
      </c>
    </row>
    <row r="923" spans="1:9" ht="13.5" thickBot="1" x14ac:dyDescent="0.25">
      <c r="A923" s="1108">
        <v>601.41</v>
      </c>
      <c r="B923" s="1109" t="s">
        <v>2596</v>
      </c>
      <c r="C923" s="1110" t="s">
        <v>2311</v>
      </c>
      <c r="D923" s="1106" t="s">
        <v>1989</v>
      </c>
      <c r="E923" s="1107" t="s">
        <v>1047</v>
      </c>
      <c r="H923">
        <v>1</v>
      </c>
      <c r="I923" t="s">
        <v>1046</v>
      </c>
    </row>
    <row r="924" spans="1:9" ht="13.5" thickBot="1" x14ac:dyDescent="0.25">
      <c r="A924" s="1108">
        <v>601.41</v>
      </c>
      <c r="B924" s="1109" t="s">
        <v>2597</v>
      </c>
      <c r="C924" s="1154" t="s">
        <v>2313</v>
      </c>
      <c r="D924" s="1106" t="s">
        <v>1989</v>
      </c>
      <c r="E924" s="1107" t="s">
        <v>1047</v>
      </c>
      <c r="H924">
        <v>1</v>
      </c>
      <c r="I924" t="s">
        <v>1046</v>
      </c>
    </row>
    <row r="925" spans="1:9" ht="13.5" thickBot="1" x14ac:dyDescent="0.25">
      <c r="A925" s="1108">
        <v>601.41999999999996</v>
      </c>
      <c r="B925" s="1109" t="s">
        <v>2598</v>
      </c>
      <c r="C925" s="1110" t="s">
        <v>2315</v>
      </c>
      <c r="D925" s="1106" t="s">
        <v>1989</v>
      </c>
      <c r="E925" s="1107" t="s">
        <v>1047</v>
      </c>
      <c r="H925">
        <v>1</v>
      </c>
      <c r="I925" t="s">
        <v>1046</v>
      </c>
    </row>
    <row r="926" spans="1:9" ht="13.5" thickBot="1" x14ac:dyDescent="0.25">
      <c r="A926" s="1108">
        <v>601.42999999999995</v>
      </c>
      <c r="B926" s="1109" t="s">
        <v>2599</v>
      </c>
      <c r="C926" s="1110" t="s">
        <v>2317</v>
      </c>
      <c r="D926" s="1106" t="s">
        <v>1989</v>
      </c>
      <c r="E926" s="1107" t="s">
        <v>1047</v>
      </c>
      <c r="H926">
        <v>1</v>
      </c>
      <c r="I926" t="s">
        <v>1046</v>
      </c>
    </row>
    <row r="927" spans="1:9" ht="13.5" thickBot="1" x14ac:dyDescent="0.25">
      <c r="A927" s="1108">
        <v>601.44000000000005</v>
      </c>
      <c r="B927" s="1109" t="s">
        <v>2600</v>
      </c>
      <c r="C927" s="1110" t="s">
        <v>2601</v>
      </c>
      <c r="D927" s="1106" t="s">
        <v>1989</v>
      </c>
      <c r="E927" s="1107" t="s">
        <v>1047</v>
      </c>
      <c r="H927">
        <v>1</v>
      </c>
      <c r="I927" t="s">
        <v>1046</v>
      </c>
    </row>
    <row r="928" spans="1:9" ht="13.5" thickBot="1" x14ac:dyDescent="0.25">
      <c r="A928" s="1108">
        <v>601.53</v>
      </c>
      <c r="B928" s="1131" t="s">
        <v>2602</v>
      </c>
      <c r="C928" s="1110" t="s">
        <v>2603</v>
      </c>
      <c r="D928" s="1106" t="s">
        <v>1989</v>
      </c>
      <c r="E928" s="1107" t="s">
        <v>1047</v>
      </c>
      <c r="H928">
        <v>1</v>
      </c>
      <c r="I928" t="s">
        <v>1046</v>
      </c>
    </row>
    <row r="929" spans="1:9" ht="13.5" thickBot="1" x14ac:dyDescent="0.25">
      <c r="A929" s="1108">
        <v>601.54</v>
      </c>
      <c r="B929" s="1131" t="s">
        <v>2604</v>
      </c>
      <c r="C929" s="1110" t="s">
        <v>2323</v>
      </c>
      <c r="D929" s="1106" t="s">
        <v>1989</v>
      </c>
      <c r="E929" s="1107" t="s">
        <v>1047</v>
      </c>
      <c r="H929">
        <v>1</v>
      </c>
      <c r="I929" t="s">
        <v>1046</v>
      </c>
    </row>
    <row r="930" spans="1:9" ht="13.5" thickBot="1" x14ac:dyDescent="0.25">
      <c r="A930" s="1108">
        <v>601.74</v>
      </c>
      <c r="B930" s="1131" t="s">
        <v>2605</v>
      </c>
      <c r="C930" s="1110" t="s">
        <v>2606</v>
      </c>
      <c r="D930" s="1106" t="s">
        <v>1989</v>
      </c>
      <c r="E930" s="1107" t="s">
        <v>1047</v>
      </c>
      <c r="H930">
        <v>1</v>
      </c>
      <c r="I930" t="s">
        <v>1046</v>
      </c>
    </row>
    <row r="931" spans="1:9" ht="13.5" thickBot="1" x14ac:dyDescent="0.25">
      <c r="A931" s="1108">
        <v>601.82000000000005</v>
      </c>
      <c r="B931" s="1109" t="s">
        <v>2607</v>
      </c>
      <c r="C931" s="1110" t="s">
        <v>2327</v>
      </c>
      <c r="D931" s="1106" t="s">
        <v>1989</v>
      </c>
      <c r="E931" s="1107" t="s">
        <v>1047</v>
      </c>
      <c r="H931">
        <v>1</v>
      </c>
      <c r="I931" t="s">
        <v>1046</v>
      </c>
    </row>
    <row r="932" spans="1:9" ht="13.5" thickBot="1" x14ac:dyDescent="0.25">
      <c r="A932" s="1108">
        <v>601.45000000000005</v>
      </c>
      <c r="B932" s="1109" t="s">
        <v>2608</v>
      </c>
      <c r="C932" s="1110" t="s">
        <v>2609</v>
      </c>
      <c r="D932" s="1106" t="s">
        <v>1989</v>
      </c>
      <c r="E932" s="1107" t="s">
        <v>1047</v>
      </c>
      <c r="H932">
        <v>1</v>
      </c>
      <c r="I932" t="s">
        <v>1046</v>
      </c>
    </row>
    <row r="933" spans="1:9" ht="13.5" thickBot="1" x14ac:dyDescent="0.25">
      <c r="A933" s="1108">
        <v>601.46</v>
      </c>
      <c r="B933" s="1109" t="s">
        <v>2610</v>
      </c>
      <c r="C933" s="1110" t="s">
        <v>2611</v>
      </c>
      <c r="D933" s="1106" t="s">
        <v>1989</v>
      </c>
      <c r="E933" s="1107" t="s">
        <v>1047</v>
      </c>
      <c r="H933">
        <v>1</v>
      </c>
      <c r="I933" t="s">
        <v>1046</v>
      </c>
    </row>
    <row r="934" spans="1:9" ht="13.5" thickBot="1" x14ac:dyDescent="0.25">
      <c r="A934" s="1108">
        <v>601.47</v>
      </c>
      <c r="B934" s="1109" t="s">
        <v>2612</v>
      </c>
      <c r="C934" s="1110" t="s">
        <v>2613</v>
      </c>
      <c r="D934" s="1106" t="s">
        <v>1989</v>
      </c>
      <c r="E934" s="1107" t="s">
        <v>1047</v>
      </c>
      <c r="H934">
        <v>1</v>
      </c>
      <c r="I934" t="s">
        <v>1046</v>
      </c>
    </row>
    <row r="935" spans="1:9" ht="13.5" thickBot="1" x14ac:dyDescent="0.25">
      <c r="A935" s="1108">
        <v>601.45000000000005</v>
      </c>
      <c r="B935" s="1109" t="s">
        <v>2614</v>
      </c>
      <c r="C935" s="1110" t="s">
        <v>2335</v>
      </c>
      <c r="D935" s="1106" t="s">
        <v>1989</v>
      </c>
      <c r="E935" s="1107" t="s">
        <v>1047</v>
      </c>
      <c r="H935">
        <v>1</v>
      </c>
      <c r="I935" t="s">
        <v>1046</v>
      </c>
    </row>
    <row r="936" spans="1:9" ht="13.5" thickBot="1" x14ac:dyDescent="0.25">
      <c r="A936" s="1108">
        <v>601.46</v>
      </c>
      <c r="B936" s="1109" t="s">
        <v>2615</v>
      </c>
      <c r="C936" s="1110" t="s">
        <v>2337</v>
      </c>
      <c r="D936" s="1106" t="s">
        <v>1989</v>
      </c>
      <c r="E936" s="1107" t="s">
        <v>1047</v>
      </c>
      <c r="H936">
        <v>1</v>
      </c>
      <c r="I936" t="s">
        <v>1046</v>
      </c>
    </row>
    <row r="937" spans="1:9" ht="13.5" thickBot="1" x14ac:dyDescent="0.25">
      <c r="A937" s="1108">
        <v>601.47</v>
      </c>
      <c r="B937" s="1109" t="s">
        <v>2616</v>
      </c>
      <c r="C937" s="1110" t="s">
        <v>2617</v>
      </c>
      <c r="D937" s="1106" t="s">
        <v>1989</v>
      </c>
      <c r="E937" s="1107" t="s">
        <v>1047</v>
      </c>
      <c r="H937">
        <v>1</v>
      </c>
      <c r="I937" t="s">
        <v>1046</v>
      </c>
    </row>
    <row r="938" spans="1:9" ht="13.5" thickBot="1" x14ac:dyDescent="0.25">
      <c r="A938" s="1108">
        <v>601.45000000000005</v>
      </c>
      <c r="B938" s="1109" t="s">
        <v>2618</v>
      </c>
      <c r="C938" s="1110" t="s">
        <v>2619</v>
      </c>
      <c r="D938" s="1106" t="s">
        <v>1989</v>
      </c>
      <c r="E938" s="1107" t="s">
        <v>1047</v>
      </c>
      <c r="H938">
        <v>1</v>
      </c>
      <c r="I938" t="s">
        <v>1046</v>
      </c>
    </row>
    <row r="939" spans="1:9" ht="13.5" thickBot="1" x14ac:dyDescent="0.25">
      <c r="A939" s="1108">
        <v>601.46</v>
      </c>
      <c r="B939" s="1109" t="s">
        <v>2620</v>
      </c>
      <c r="C939" s="1110" t="s">
        <v>2621</v>
      </c>
      <c r="D939" s="1106" t="s">
        <v>1989</v>
      </c>
      <c r="E939" s="1107" t="s">
        <v>1047</v>
      </c>
      <c r="H939">
        <v>1</v>
      </c>
      <c r="I939" t="s">
        <v>1046</v>
      </c>
    </row>
    <row r="940" spans="1:9" ht="13.5" thickBot="1" x14ac:dyDescent="0.25">
      <c r="A940" s="1108">
        <v>601.47</v>
      </c>
      <c r="B940" s="1109" t="s">
        <v>2622</v>
      </c>
      <c r="C940" s="1110" t="s">
        <v>2345</v>
      </c>
      <c r="D940" s="1106" t="s">
        <v>1989</v>
      </c>
      <c r="E940" s="1107" t="s">
        <v>1047</v>
      </c>
      <c r="H940">
        <v>1</v>
      </c>
      <c r="I940" t="s">
        <v>1046</v>
      </c>
    </row>
    <row r="941" spans="1:9" ht="13.5" thickBot="1" x14ac:dyDescent="0.25">
      <c r="A941" s="1108">
        <v>601.45000000000005</v>
      </c>
      <c r="B941" s="1109" t="s">
        <v>2623</v>
      </c>
      <c r="C941" s="1110" t="s">
        <v>2347</v>
      </c>
      <c r="D941" s="1106" t="s">
        <v>1989</v>
      </c>
      <c r="E941" s="1107" t="s">
        <v>1047</v>
      </c>
      <c r="H941">
        <v>1</v>
      </c>
      <c r="I941" t="s">
        <v>1046</v>
      </c>
    </row>
    <row r="942" spans="1:9" ht="13.5" thickBot="1" x14ac:dyDescent="0.25">
      <c r="A942" s="1108">
        <v>601.46</v>
      </c>
      <c r="B942" s="1109" t="s">
        <v>2624</v>
      </c>
      <c r="C942" s="1110" t="s">
        <v>2349</v>
      </c>
      <c r="D942" s="1106" t="s">
        <v>1989</v>
      </c>
      <c r="E942" s="1107" t="s">
        <v>1047</v>
      </c>
      <c r="H942">
        <v>1</v>
      </c>
      <c r="I942" t="s">
        <v>1046</v>
      </c>
    </row>
    <row r="943" spans="1:9" ht="13.5" thickBot="1" x14ac:dyDescent="0.25">
      <c r="A943" s="1108">
        <v>601.47</v>
      </c>
      <c r="B943" s="1109" t="s">
        <v>2625</v>
      </c>
      <c r="C943" s="1110" t="s">
        <v>2351</v>
      </c>
      <c r="D943" s="1106" t="s">
        <v>1989</v>
      </c>
      <c r="E943" s="1107" t="s">
        <v>1047</v>
      </c>
      <c r="H943">
        <v>1</v>
      </c>
      <c r="I943" t="s">
        <v>1046</v>
      </c>
    </row>
    <row r="944" spans="1:9" ht="13.5" thickBot="1" x14ac:dyDescent="0.25">
      <c r="A944" s="1108">
        <v>601.45000000000005</v>
      </c>
      <c r="B944" s="1109" t="s">
        <v>2626</v>
      </c>
      <c r="C944" s="1110" t="s">
        <v>2353</v>
      </c>
      <c r="D944" s="1106" t="s">
        <v>1989</v>
      </c>
      <c r="E944" s="1107" t="s">
        <v>1047</v>
      </c>
      <c r="H944">
        <v>1</v>
      </c>
      <c r="I944" t="s">
        <v>1046</v>
      </c>
    </row>
    <row r="945" spans="1:9" ht="13.5" thickBot="1" x14ac:dyDescent="0.25">
      <c r="A945" s="1108">
        <v>601.46</v>
      </c>
      <c r="B945" s="1109" t="s">
        <v>2627</v>
      </c>
      <c r="C945" s="1110" t="s">
        <v>2355</v>
      </c>
      <c r="D945" s="1106" t="s">
        <v>1989</v>
      </c>
      <c r="E945" s="1107" t="s">
        <v>1047</v>
      </c>
      <c r="H945">
        <v>1</v>
      </c>
      <c r="I945" t="s">
        <v>1046</v>
      </c>
    </row>
    <row r="946" spans="1:9" ht="13.5" thickBot="1" x14ac:dyDescent="0.25">
      <c r="A946" s="1108">
        <v>601.47</v>
      </c>
      <c r="B946" s="1109" t="s">
        <v>2628</v>
      </c>
      <c r="C946" s="1110" t="s">
        <v>2629</v>
      </c>
      <c r="D946" s="1106" t="s">
        <v>1989</v>
      </c>
      <c r="E946" s="1107" t="s">
        <v>1047</v>
      </c>
      <c r="H946">
        <v>1</v>
      </c>
      <c r="I946" t="s">
        <v>1046</v>
      </c>
    </row>
    <row r="947" spans="1:9" ht="13.5" thickBot="1" x14ac:dyDescent="0.25">
      <c r="A947" s="1108">
        <v>601.55999999999995</v>
      </c>
      <c r="B947" s="1109" t="s">
        <v>2630</v>
      </c>
      <c r="C947" s="1110" t="s">
        <v>2359</v>
      </c>
      <c r="D947" s="1106" t="s">
        <v>1989</v>
      </c>
      <c r="E947" s="1107" t="s">
        <v>1047</v>
      </c>
      <c r="H947">
        <v>1</v>
      </c>
      <c r="I947" t="s">
        <v>1046</v>
      </c>
    </row>
    <row r="948" spans="1:9" ht="13.5" thickBot="1" x14ac:dyDescent="0.25">
      <c r="A948" s="1108">
        <v>601.55999999999995</v>
      </c>
      <c r="B948" s="1109" t="s">
        <v>2631</v>
      </c>
      <c r="C948" s="1110" t="s">
        <v>2361</v>
      </c>
      <c r="D948" s="1106" t="s">
        <v>1989</v>
      </c>
      <c r="E948" s="1107" t="s">
        <v>1047</v>
      </c>
      <c r="H948">
        <v>1</v>
      </c>
      <c r="I948" t="s">
        <v>1046</v>
      </c>
    </row>
    <row r="949" spans="1:9" ht="13.5" thickBot="1" x14ac:dyDescent="0.25">
      <c r="A949" s="1108">
        <v>601.55999999999995</v>
      </c>
      <c r="B949" s="1109" t="s">
        <v>2632</v>
      </c>
      <c r="C949" s="1110" t="s">
        <v>2363</v>
      </c>
      <c r="D949" s="1106" t="s">
        <v>1989</v>
      </c>
      <c r="E949" s="1107" t="s">
        <v>1047</v>
      </c>
      <c r="H949">
        <v>1</v>
      </c>
      <c r="I949" t="s">
        <v>1046</v>
      </c>
    </row>
    <row r="950" spans="1:9" ht="13.5" thickBot="1" x14ac:dyDescent="0.25">
      <c r="A950" s="1108">
        <v>601.55999999999995</v>
      </c>
      <c r="B950" s="1109" t="s">
        <v>2633</v>
      </c>
      <c r="C950" s="1110" t="s">
        <v>2365</v>
      </c>
      <c r="D950" s="1106" t="s">
        <v>1989</v>
      </c>
      <c r="E950" s="1107" t="s">
        <v>1047</v>
      </c>
      <c r="H950">
        <v>1</v>
      </c>
      <c r="I950" t="s">
        <v>1046</v>
      </c>
    </row>
    <row r="951" spans="1:9" ht="13.5" thickBot="1" x14ac:dyDescent="0.25">
      <c r="A951" s="1108">
        <v>601.55999999999995</v>
      </c>
      <c r="B951" s="1109" t="s">
        <v>2634</v>
      </c>
      <c r="C951" s="1110" t="s">
        <v>2367</v>
      </c>
      <c r="D951" s="1106" t="s">
        <v>1989</v>
      </c>
      <c r="E951" s="1107" t="s">
        <v>1047</v>
      </c>
      <c r="H951">
        <v>1</v>
      </c>
      <c r="I951" t="s">
        <v>1046</v>
      </c>
    </row>
    <row r="952" spans="1:9" ht="13.5" thickBot="1" x14ac:dyDescent="0.25">
      <c r="A952" s="1108">
        <v>601.55999999999995</v>
      </c>
      <c r="B952" s="1109" t="s">
        <v>2635</v>
      </c>
      <c r="C952" s="1110" t="s">
        <v>2369</v>
      </c>
      <c r="D952" s="1106" t="s">
        <v>1989</v>
      </c>
      <c r="E952" s="1107" t="s">
        <v>1047</v>
      </c>
      <c r="H952">
        <v>1</v>
      </c>
      <c r="I952" t="s">
        <v>1046</v>
      </c>
    </row>
    <row r="953" spans="1:9" ht="13.5" thickBot="1" x14ac:dyDescent="0.25">
      <c r="A953" s="1155">
        <v>613.01</v>
      </c>
      <c r="B953" s="1109" t="s">
        <v>2636</v>
      </c>
      <c r="C953" s="1144" t="s">
        <v>2371</v>
      </c>
      <c r="D953" s="1106" t="s">
        <v>1989</v>
      </c>
      <c r="E953" s="1107" t="s">
        <v>1047</v>
      </c>
      <c r="F953" s="1099" t="s">
        <v>2249</v>
      </c>
      <c r="H953">
        <v>1</v>
      </c>
      <c r="I953" t="s">
        <v>1046</v>
      </c>
    </row>
    <row r="954" spans="1:9" ht="13.5" thickBot="1" x14ac:dyDescent="0.25">
      <c r="A954" s="1155">
        <v>613.02</v>
      </c>
      <c r="B954" s="1109" t="s">
        <v>2637</v>
      </c>
      <c r="C954" s="1144" t="s">
        <v>2373</v>
      </c>
      <c r="D954" s="1106" t="s">
        <v>1989</v>
      </c>
      <c r="E954" s="1107" t="s">
        <v>1047</v>
      </c>
      <c r="F954" s="1099" t="s">
        <v>2249</v>
      </c>
      <c r="H954">
        <v>1</v>
      </c>
      <c r="I954" t="s">
        <v>1046</v>
      </c>
    </row>
    <row r="955" spans="1:9" ht="13.5" thickBot="1" x14ac:dyDescent="0.25">
      <c r="A955" s="1155">
        <v>613.03</v>
      </c>
      <c r="B955" s="1109" t="s">
        <v>2638</v>
      </c>
      <c r="C955" s="1144" t="s">
        <v>2639</v>
      </c>
      <c r="D955" s="1106" t="s">
        <v>1989</v>
      </c>
      <c r="E955" s="1107" t="s">
        <v>1047</v>
      </c>
      <c r="F955" s="1099" t="s">
        <v>2249</v>
      </c>
      <c r="H955">
        <v>1</v>
      </c>
      <c r="I955" t="s">
        <v>1046</v>
      </c>
    </row>
    <row r="956" spans="1:9" ht="13.5" thickBot="1" x14ac:dyDescent="0.25">
      <c r="A956" s="1155">
        <v>613.04</v>
      </c>
      <c r="B956" s="1109" t="s">
        <v>2640</v>
      </c>
      <c r="C956" s="1144" t="s">
        <v>2641</v>
      </c>
      <c r="D956" s="1106" t="s">
        <v>1989</v>
      </c>
      <c r="E956" s="1107" t="s">
        <v>1047</v>
      </c>
      <c r="F956" s="1099" t="s">
        <v>2249</v>
      </c>
      <c r="H956">
        <v>1</v>
      </c>
      <c r="I956" t="s">
        <v>1046</v>
      </c>
    </row>
    <row r="957" spans="1:9" ht="13.5" thickBot="1" x14ac:dyDescent="0.25">
      <c r="A957" s="1155">
        <v>613.04999999999995</v>
      </c>
      <c r="B957" s="1109" t="s">
        <v>2642</v>
      </c>
      <c r="C957" s="1144" t="s">
        <v>2379</v>
      </c>
      <c r="D957" s="1106" t="s">
        <v>1989</v>
      </c>
      <c r="E957" s="1107" t="s">
        <v>1047</v>
      </c>
      <c r="F957" s="1099" t="s">
        <v>2249</v>
      </c>
      <c r="H957">
        <v>1</v>
      </c>
      <c r="I957" t="s">
        <v>1046</v>
      </c>
    </row>
    <row r="958" spans="1:9" ht="13.5" thickBot="1" x14ac:dyDescent="0.25">
      <c r="A958" s="1155">
        <v>613.05999999999995</v>
      </c>
      <c r="B958" s="1109" t="s">
        <v>2643</v>
      </c>
      <c r="C958" s="1144" t="s">
        <v>2381</v>
      </c>
      <c r="D958" s="1106" t="s">
        <v>1989</v>
      </c>
      <c r="E958" s="1107" t="s">
        <v>1047</v>
      </c>
      <c r="F958" s="1099" t="s">
        <v>2249</v>
      </c>
      <c r="H958">
        <v>1</v>
      </c>
      <c r="I958" t="s">
        <v>1046</v>
      </c>
    </row>
    <row r="959" spans="1:9" ht="13.5" thickBot="1" x14ac:dyDescent="0.25">
      <c r="A959" s="1155">
        <v>613.07000000000005</v>
      </c>
      <c r="B959" s="1109" t="s">
        <v>2644</v>
      </c>
      <c r="C959" s="1144" t="s">
        <v>2645</v>
      </c>
      <c r="D959" s="1106" t="s">
        <v>1989</v>
      </c>
      <c r="E959" s="1107" t="s">
        <v>1047</v>
      </c>
      <c r="F959" s="1099" t="s">
        <v>2249</v>
      </c>
      <c r="H959">
        <v>1</v>
      </c>
      <c r="I959" t="s">
        <v>1046</v>
      </c>
    </row>
    <row r="960" spans="1:9" ht="13.5" thickBot="1" x14ac:dyDescent="0.25">
      <c r="A960" s="1155">
        <v>613.08000000000004</v>
      </c>
      <c r="B960" s="1109" t="s">
        <v>2646</v>
      </c>
      <c r="C960" s="1144" t="s">
        <v>2385</v>
      </c>
      <c r="D960" s="1106" t="s">
        <v>1989</v>
      </c>
      <c r="E960" s="1107" t="s">
        <v>1047</v>
      </c>
      <c r="F960" s="1099" t="s">
        <v>2249</v>
      </c>
      <c r="H960">
        <v>1</v>
      </c>
      <c r="I960" t="s">
        <v>1046</v>
      </c>
    </row>
    <row r="961" spans="1:9" ht="13.5" thickBot="1" x14ac:dyDescent="0.25">
      <c r="A961" s="1155">
        <v>613.09</v>
      </c>
      <c r="B961" s="1109" t="s">
        <v>2647</v>
      </c>
      <c r="C961" s="1144" t="s">
        <v>2387</v>
      </c>
      <c r="D961" s="1106" t="s">
        <v>1989</v>
      </c>
      <c r="E961" s="1107" t="s">
        <v>1047</v>
      </c>
      <c r="F961" s="1099" t="s">
        <v>2249</v>
      </c>
      <c r="H961">
        <v>1</v>
      </c>
      <c r="I961" t="s">
        <v>1046</v>
      </c>
    </row>
    <row r="962" spans="1:9" ht="13.5" thickBot="1" x14ac:dyDescent="0.25">
      <c r="A962" s="1155">
        <v>613.1</v>
      </c>
      <c r="B962" s="1109" t="s">
        <v>2648</v>
      </c>
      <c r="C962" s="1144" t="s">
        <v>2389</v>
      </c>
      <c r="D962" s="1106" t="s">
        <v>1989</v>
      </c>
      <c r="E962" s="1107" t="s">
        <v>1047</v>
      </c>
      <c r="F962" s="1099" t="s">
        <v>2249</v>
      </c>
      <c r="H962">
        <v>1</v>
      </c>
      <c r="I962" t="s">
        <v>1046</v>
      </c>
    </row>
    <row r="963" spans="1:9" ht="13.5" thickBot="1" x14ac:dyDescent="0.25">
      <c r="A963" s="1155">
        <v>613.11</v>
      </c>
      <c r="B963" s="1109" t="s">
        <v>2649</v>
      </c>
      <c r="C963" s="1144" t="s">
        <v>2391</v>
      </c>
      <c r="D963" s="1106" t="s">
        <v>1989</v>
      </c>
      <c r="E963" s="1107" t="s">
        <v>1047</v>
      </c>
      <c r="F963" s="1099" t="s">
        <v>2249</v>
      </c>
      <c r="H963">
        <v>1</v>
      </c>
      <c r="I963" t="s">
        <v>1046</v>
      </c>
    </row>
    <row r="964" spans="1:9" ht="13.5" thickBot="1" x14ac:dyDescent="0.25">
      <c r="A964" s="1155">
        <v>613.12</v>
      </c>
      <c r="B964" s="1109" t="s">
        <v>2650</v>
      </c>
      <c r="C964" s="1144" t="s">
        <v>2651</v>
      </c>
      <c r="D964" s="1106" t="s">
        <v>1989</v>
      </c>
      <c r="E964" s="1107" t="s">
        <v>1047</v>
      </c>
      <c r="F964" s="1099" t="s">
        <v>2249</v>
      </c>
      <c r="H964">
        <v>1</v>
      </c>
      <c r="I964" t="s">
        <v>1046</v>
      </c>
    </row>
    <row r="965" spans="1:9" ht="13.5" thickBot="1" x14ac:dyDescent="0.25">
      <c r="A965" s="1155">
        <v>613.13</v>
      </c>
      <c r="B965" s="1109" t="s">
        <v>2652</v>
      </c>
      <c r="C965" s="1144" t="s">
        <v>2653</v>
      </c>
      <c r="D965" s="1106" t="s">
        <v>1989</v>
      </c>
      <c r="E965" s="1107" t="s">
        <v>1047</v>
      </c>
      <c r="F965" s="1099" t="s">
        <v>2249</v>
      </c>
      <c r="H965">
        <v>1</v>
      </c>
      <c r="I965" t="s">
        <v>1046</v>
      </c>
    </row>
    <row r="966" spans="1:9" ht="13.5" thickBot="1" x14ac:dyDescent="0.25">
      <c r="A966" s="1155">
        <v>613.14</v>
      </c>
      <c r="B966" s="1109" t="s">
        <v>2654</v>
      </c>
      <c r="C966" s="1144" t="s">
        <v>2655</v>
      </c>
      <c r="D966" s="1106" t="s">
        <v>1989</v>
      </c>
      <c r="E966" s="1107" t="s">
        <v>1047</v>
      </c>
      <c r="F966" s="1099" t="s">
        <v>2249</v>
      </c>
      <c r="H966">
        <v>1</v>
      </c>
      <c r="I966" t="s">
        <v>1046</v>
      </c>
    </row>
    <row r="967" spans="1:9" ht="13.5" thickBot="1" x14ac:dyDescent="0.25">
      <c r="A967" s="1155">
        <v>613.15</v>
      </c>
      <c r="B967" s="1109" t="s">
        <v>2656</v>
      </c>
      <c r="C967" s="1144" t="s">
        <v>2399</v>
      </c>
      <c r="D967" s="1106" t="s">
        <v>1989</v>
      </c>
      <c r="E967" s="1107" t="s">
        <v>1047</v>
      </c>
      <c r="F967" s="1099" t="s">
        <v>2249</v>
      </c>
      <c r="H967">
        <v>1</v>
      </c>
      <c r="I967" t="s">
        <v>1046</v>
      </c>
    </row>
    <row r="968" spans="1:9" ht="13.5" thickBot="1" x14ac:dyDescent="0.25">
      <c r="A968" s="1155">
        <v>613.16</v>
      </c>
      <c r="B968" s="1109" t="s">
        <v>2657</v>
      </c>
      <c r="C968" s="1144" t="s">
        <v>2658</v>
      </c>
      <c r="D968" s="1106" t="s">
        <v>1989</v>
      </c>
      <c r="E968" s="1107" t="s">
        <v>1047</v>
      </c>
      <c r="F968" s="1099" t="s">
        <v>2249</v>
      </c>
      <c r="H968">
        <v>1</v>
      </c>
      <c r="I968" t="s">
        <v>1046</v>
      </c>
    </row>
    <row r="969" spans="1:9" ht="13.5" thickBot="1" x14ac:dyDescent="0.25">
      <c r="A969" s="1155">
        <v>613.16999999999996</v>
      </c>
      <c r="B969" s="1109" t="s">
        <v>2659</v>
      </c>
      <c r="C969" s="1144" t="s">
        <v>2403</v>
      </c>
      <c r="D969" s="1106" t="s">
        <v>1989</v>
      </c>
      <c r="E969" s="1107" t="s">
        <v>1047</v>
      </c>
      <c r="F969" s="1099" t="s">
        <v>2249</v>
      </c>
      <c r="H969">
        <v>1</v>
      </c>
      <c r="I969" t="s">
        <v>1046</v>
      </c>
    </row>
    <row r="970" spans="1:9" ht="13.5" thickBot="1" x14ac:dyDescent="0.25">
      <c r="A970" s="1155">
        <v>613.17999999999995</v>
      </c>
      <c r="B970" s="1109" t="s">
        <v>2660</v>
      </c>
      <c r="C970" s="1144" t="s">
        <v>2405</v>
      </c>
      <c r="D970" s="1106" t="s">
        <v>1989</v>
      </c>
      <c r="E970" s="1107" t="s">
        <v>1047</v>
      </c>
      <c r="F970" s="1099" t="s">
        <v>2249</v>
      </c>
      <c r="H970">
        <v>1</v>
      </c>
      <c r="I970" t="s">
        <v>1046</v>
      </c>
    </row>
    <row r="971" spans="1:9" ht="13.5" thickBot="1" x14ac:dyDescent="0.25">
      <c r="A971" s="1108">
        <v>505.01</v>
      </c>
      <c r="B971" s="1109" t="s">
        <v>2661</v>
      </c>
      <c r="C971" s="1110" t="s">
        <v>2407</v>
      </c>
      <c r="D971" s="1106" t="s">
        <v>1989</v>
      </c>
      <c r="E971" s="1107" t="s">
        <v>1047</v>
      </c>
      <c r="F971" s="1099" t="s">
        <v>2249</v>
      </c>
      <c r="H971">
        <v>1</v>
      </c>
      <c r="I971" t="s">
        <v>1046</v>
      </c>
    </row>
    <row r="972" spans="1:9" ht="13.5" thickBot="1" x14ac:dyDescent="0.25">
      <c r="A972" s="1155">
        <v>614.01</v>
      </c>
      <c r="B972" s="1131" t="s">
        <v>2662</v>
      </c>
      <c r="C972" s="1144" t="s">
        <v>1455</v>
      </c>
      <c r="D972" s="1106" t="s">
        <v>1989</v>
      </c>
      <c r="E972" s="1107" t="s">
        <v>1047</v>
      </c>
      <c r="F972" s="1099" t="s">
        <v>2249</v>
      </c>
      <c r="H972">
        <v>1</v>
      </c>
      <c r="I972" t="s">
        <v>1046</v>
      </c>
    </row>
    <row r="973" spans="1:9" ht="13.5" thickBot="1" x14ac:dyDescent="0.25">
      <c r="A973" s="1155">
        <v>614.02</v>
      </c>
      <c r="B973" s="1131" t="s">
        <v>2663</v>
      </c>
      <c r="C973" s="1144" t="s">
        <v>1458</v>
      </c>
      <c r="D973" s="1106" t="s">
        <v>1989</v>
      </c>
      <c r="E973" s="1107" t="s">
        <v>1047</v>
      </c>
      <c r="F973" s="1099" t="s">
        <v>2249</v>
      </c>
      <c r="H973">
        <v>1</v>
      </c>
      <c r="I973" t="s">
        <v>1046</v>
      </c>
    </row>
    <row r="974" spans="1:9" ht="13.5" thickBot="1" x14ac:dyDescent="0.25">
      <c r="A974" s="1155">
        <v>614.03</v>
      </c>
      <c r="B974" s="1131" t="s">
        <v>2664</v>
      </c>
      <c r="C974" s="1144" t="s">
        <v>2665</v>
      </c>
      <c r="D974" s="1106" t="s">
        <v>1989</v>
      </c>
      <c r="E974" s="1107" t="s">
        <v>1047</v>
      </c>
      <c r="F974" s="1099" t="s">
        <v>2249</v>
      </c>
      <c r="H974">
        <v>1</v>
      </c>
      <c r="I974" t="s">
        <v>1046</v>
      </c>
    </row>
    <row r="975" spans="1:9" ht="13.5" thickBot="1" x14ac:dyDescent="0.25">
      <c r="A975" s="1155">
        <v>614.04</v>
      </c>
      <c r="B975" s="1131" t="s">
        <v>2666</v>
      </c>
      <c r="C975" s="1144" t="s">
        <v>1464</v>
      </c>
      <c r="D975" s="1106" t="s">
        <v>1989</v>
      </c>
      <c r="E975" s="1107" t="s">
        <v>1047</v>
      </c>
      <c r="F975" s="1099" t="s">
        <v>2249</v>
      </c>
      <c r="H975">
        <v>1</v>
      </c>
      <c r="I975" t="s">
        <v>1046</v>
      </c>
    </row>
    <row r="976" spans="1:9" ht="13.5" thickBot="1" x14ac:dyDescent="0.25">
      <c r="A976" s="1155">
        <v>614.04999999999995</v>
      </c>
      <c r="B976" s="1131" t="s">
        <v>2667</v>
      </c>
      <c r="C976" s="1144" t="s">
        <v>1467</v>
      </c>
      <c r="D976" s="1106" t="s">
        <v>1989</v>
      </c>
      <c r="E976" s="1107" t="s">
        <v>1047</v>
      </c>
      <c r="F976" s="1099" t="s">
        <v>2249</v>
      </c>
      <c r="H976">
        <v>1</v>
      </c>
      <c r="I976" t="s">
        <v>1046</v>
      </c>
    </row>
    <row r="977" spans="1:9" ht="13.5" thickBot="1" x14ac:dyDescent="0.25">
      <c r="A977" s="1155">
        <v>614.05999999999995</v>
      </c>
      <c r="B977" s="1131" t="s">
        <v>2668</v>
      </c>
      <c r="C977" s="1144" t="s">
        <v>2669</v>
      </c>
      <c r="D977" s="1106" t="s">
        <v>1989</v>
      </c>
      <c r="E977" s="1107" t="s">
        <v>1047</v>
      </c>
      <c r="F977" s="1099" t="s">
        <v>2249</v>
      </c>
      <c r="H977">
        <v>1</v>
      </c>
      <c r="I977" t="s">
        <v>1046</v>
      </c>
    </row>
    <row r="978" spans="1:9" ht="13.5" thickBot="1" x14ac:dyDescent="0.25">
      <c r="A978" s="1155">
        <v>614.07000000000005</v>
      </c>
      <c r="B978" s="1131" t="s">
        <v>2670</v>
      </c>
      <c r="C978" s="1144" t="s">
        <v>1473</v>
      </c>
      <c r="D978" s="1106" t="s">
        <v>1989</v>
      </c>
      <c r="E978" s="1107" t="s">
        <v>1047</v>
      </c>
      <c r="F978" s="1099" t="s">
        <v>2249</v>
      </c>
      <c r="H978">
        <v>1</v>
      </c>
      <c r="I978" t="s">
        <v>1046</v>
      </c>
    </row>
    <row r="979" spans="1:9" ht="13.5" thickBot="1" x14ac:dyDescent="0.25">
      <c r="A979" s="1155">
        <v>614.08000000000004</v>
      </c>
      <c r="B979" s="1131" t="s">
        <v>2671</v>
      </c>
      <c r="C979" s="1144" t="s">
        <v>1476</v>
      </c>
      <c r="D979" s="1106" t="s">
        <v>1989</v>
      </c>
      <c r="E979" s="1107" t="s">
        <v>1047</v>
      </c>
      <c r="F979" s="1099" t="s">
        <v>2249</v>
      </c>
      <c r="H979">
        <v>1</v>
      </c>
      <c r="I979" t="s">
        <v>1046</v>
      </c>
    </row>
    <row r="980" spans="1:9" ht="13.5" thickBot="1" x14ac:dyDescent="0.25">
      <c r="A980" s="1155">
        <v>614.09</v>
      </c>
      <c r="B980" s="1131" t="s">
        <v>2672</v>
      </c>
      <c r="C980" s="1144" t="s">
        <v>2673</v>
      </c>
      <c r="D980" s="1106" t="s">
        <v>1989</v>
      </c>
      <c r="E980" s="1107" t="s">
        <v>1047</v>
      </c>
      <c r="F980" s="1099" t="s">
        <v>2249</v>
      </c>
      <c r="H980">
        <v>1</v>
      </c>
      <c r="I980" t="s">
        <v>1046</v>
      </c>
    </row>
    <row r="981" spans="1:9" ht="13.5" thickBot="1" x14ac:dyDescent="0.25">
      <c r="A981" s="1155">
        <v>614.1</v>
      </c>
      <c r="B981" s="1131" t="s">
        <v>2674</v>
      </c>
      <c r="C981" s="1144" t="s">
        <v>1482</v>
      </c>
      <c r="D981" s="1106" t="s">
        <v>1989</v>
      </c>
      <c r="E981" s="1107" t="s">
        <v>1047</v>
      </c>
      <c r="F981" s="1099" t="s">
        <v>2249</v>
      </c>
      <c r="H981">
        <v>1</v>
      </c>
      <c r="I981" t="s">
        <v>1046</v>
      </c>
    </row>
    <row r="982" spans="1:9" ht="13.5" thickBot="1" x14ac:dyDescent="0.25">
      <c r="A982" s="1108">
        <v>505.01</v>
      </c>
      <c r="B982" s="1131" t="s">
        <v>2675</v>
      </c>
      <c r="C982" s="1110" t="s">
        <v>2676</v>
      </c>
      <c r="D982" s="1106" t="s">
        <v>1989</v>
      </c>
      <c r="E982" s="1107" t="s">
        <v>1047</v>
      </c>
      <c r="F982" s="1099" t="s">
        <v>2249</v>
      </c>
      <c r="H982">
        <v>1</v>
      </c>
      <c r="I982" t="s">
        <v>1046</v>
      </c>
    </row>
    <row r="983" spans="1:9" ht="13.5" thickBot="1" x14ac:dyDescent="0.25">
      <c r="A983" s="1108">
        <v>601.54999999999995</v>
      </c>
      <c r="B983" s="1109" t="s">
        <v>2677</v>
      </c>
      <c r="C983" s="1110" t="s">
        <v>2678</v>
      </c>
      <c r="D983" s="1106" t="s">
        <v>1989</v>
      </c>
      <c r="E983" s="1107" t="s">
        <v>1047</v>
      </c>
      <c r="H983">
        <v>1</v>
      </c>
      <c r="I983" t="s">
        <v>1046</v>
      </c>
    </row>
    <row r="984" spans="1:9" ht="13.5" thickBot="1" x14ac:dyDescent="0.25">
      <c r="A984" s="1108">
        <v>601.84</v>
      </c>
      <c r="B984" s="1109" t="s">
        <v>2679</v>
      </c>
      <c r="C984" s="1144" t="s">
        <v>2425</v>
      </c>
      <c r="D984" s="1106" t="s">
        <v>1989</v>
      </c>
      <c r="E984" s="1107" t="s">
        <v>1047</v>
      </c>
      <c r="H984">
        <v>1</v>
      </c>
      <c r="I984" t="s">
        <v>1046</v>
      </c>
    </row>
    <row r="985" spans="1:9" ht="13.5" thickBot="1" x14ac:dyDescent="0.25">
      <c r="A985" s="1108">
        <v>601.48</v>
      </c>
      <c r="B985" s="1109" t="s">
        <v>2680</v>
      </c>
      <c r="C985" s="1110" t="s">
        <v>2427</v>
      </c>
      <c r="D985" s="1106" t="s">
        <v>1989</v>
      </c>
      <c r="E985" s="1107" t="s">
        <v>1047</v>
      </c>
      <c r="H985">
        <v>1</v>
      </c>
      <c r="I985" t="s">
        <v>1046</v>
      </c>
    </row>
    <row r="986" spans="1:9" ht="13.5" thickBot="1" x14ac:dyDescent="0.25">
      <c r="A986" s="1108">
        <v>601.48</v>
      </c>
      <c r="B986" s="1109" t="s">
        <v>2681</v>
      </c>
      <c r="C986" s="1110" t="s">
        <v>2429</v>
      </c>
      <c r="D986" s="1106" t="s">
        <v>1989</v>
      </c>
      <c r="E986" s="1107" t="s">
        <v>1047</v>
      </c>
      <c r="F986" s="1099" t="s">
        <v>2249</v>
      </c>
      <c r="H986">
        <v>1</v>
      </c>
      <c r="I986" t="s">
        <v>1046</v>
      </c>
    </row>
    <row r="987" spans="1:9" ht="13.5" thickBot="1" x14ac:dyDescent="0.25">
      <c r="A987" s="1108">
        <v>601.84</v>
      </c>
      <c r="B987" s="1109" t="s">
        <v>2682</v>
      </c>
      <c r="C987" s="1110" t="s">
        <v>2431</v>
      </c>
      <c r="D987" s="1106" t="s">
        <v>1989</v>
      </c>
      <c r="E987" s="1107" t="s">
        <v>1047</v>
      </c>
      <c r="H987">
        <v>1</v>
      </c>
      <c r="I987" t="s">
        <v>1046</v>
      </c>
    </row>
    <row r="988" spans="1:9" ht="13.5" thickBot="1" x14ac:dyDescent="0.25">
      <c r="A988" s="1108">
        <v>601.84</v>
      </c>
      <c r="B988" s="1109" t="s">
        <v>2683</v>
      </c>
      <c r="C988" s="1110" t="s">
        <v>2433</v>
      </c>
      <c r="D988" s="1106" t="s">
        <v>1989</v>
      </c>
      <c r="E988" s="1107" t="s">
        <v>1047</v>
      </c>
      <c r="H988">
        <v>1</v>
      </c>
      <c r="I988" t="s">
        <v>1046</v>
      </c>
    </row>
    <row r="989" spans="1:9" ht="13.5" thickBot="1" x14ac:dyDescent="0.25">
      <c r="A989" s="1108">
        <v>601.84</v>
      </c>
      <c r="B989" s="1109" t="s">
        <v>2684</v>
      </c>
      <c r="C989" s="1110" t="s">
        <v>2435</v>
      </c>
      <c r="D989" s="1106" t="s">
        <v>1989</v>
      </c>
      <c r="E989" s="1107" t="s">
        <v>1047</v>
      </c>
      <c r="I989"/>
    </row>
    <row r="990" spans="1:9" ht="22.5" x14ac:dyDescent="0.2">
      <c r="A990" s="1108">
        <v>601.84</v>
      </c>
      <c r="B990" s="1109" t="s">
        <v>2685</v>
      </c>
      <c r="C990" s="1156" t="s">
        <v>2437</v>
      </c>
      <c r="D990" s="1106" t="s">
        <v>1989</v>
      </c>
      <c r="E990" s="1107" t="s">
        <v>1047</v>
      </c>
      <c r="I990"/>
    </row>
    <row r="991" spans="1:9" ht="13.5" thickBot="1" x14ac:dyDescent="0.25">
      <c r="A991" s="1108">
        <v>601.49</v>
      </c>
      <c r="B991" s="1109" t="s">
        <v>2686</v>
      </c>
      <c r="C991" s="1110" t="s">
        <v>2439</v>
      </c>
      <c r="D991" s="1106" t="s">
        <v>1989</v>
      </c>
      <c r="E991" s="1107" t="s">
        <v>1047</v>
      </c>
      <c r="H991">
        <v>1</v>
      </c>
      <c r="I991" t="s">
        <v>1046</v>
      </c>
    </row>
    <row r="992" spans="1:9" ht="13.5" thickBot="1" x14ac:dyDescent="0.25">
      <c r="A992" s="1108">
        <v>601.49</v>
      </c>
      <c r="B992" s="1109" t="s">
        <v>2687</v>
      </c>
      <c r="C992" s="1110" t="s">
        <v>2441</v>
      </c>
      <c r="D992" s="1106" t="s">
        <v>1989</v>
      </c>
      <c r="E992" s="1107" t="s">
        <v>1047</v>
      </c>
      <c r="F992" s="1099" t="s">
        <v>2249</v>
      </c>
      <c r="H992">
        <v>1</v>
      </c>
      <c r="I992" t="s">
        <v>1046</v>
      </c>
    </row>
    <row r="993" spans="1:9" ht="13.5" thickBot="1" x14ac:dyDescent="0.25">
      <c r="A993" s="1108">
        <v>601.49</v>
      </c>
      <c r="B993" s="1109" t="s">
        <v>2688</v>
      </c>
      <c r="C993" s="1110" t="s">
        <v>2443</v>
      </c>
      <c r="D993" s="1106" t="s">
        <v>1989</v>
      </c>
      <c r="E993" s="1107" t="s">
        <v>1047</v>
      </c>
      <c r="H993">
        <v>1</v>
      </c>
      <c r="I993" t="s">
        <v>1046</v>
      </c>
    </row>
    <row r="994" spans="1:9" ht="13.5" thickBot="1" x14ac:dyDescent="0.25">
      <c r="A994" s="1108">
        <v>601.49</v>
      </c>
      <c r="B994" s="1109" t="s">
        <v>2689</v>
      </c>
      <c r="C994" s="1110" t="s">
        <v>2445</v>
      </c>
      <c r="D994" s="1106" t="s">
        <v>1989</v>
      </c>
      <c r="E994" s="1107" t="s">
        <v>1047</v>
      </c>
      <c r="F994" s="1099" t="s">
        <v>2249</v>
      </c>
      <c r="H994">
        <v>1</v>
      </c>
      <c r="I994" t="s">
        <v>1046</v>
      </c>
    </row>
    <row r="995" spans="1:9" ht="13.5" thickBot="1" x14ac:dyDescent="0.25">
      <c r="A995" s="1157">
        <v>601.84</v>
      </c>
      <c r="B995" s="1109" t="s">
        <v>2690</v>
      </c>
      <c r="C995" s="1110" t="s">
        <v>2447</v>
      </c>
      <c r="D995" s="1106" t="s">
        <v>1989</v>
      </c>
      <c r="E995" s="1107" t="s">
        <v>1047</v>
      </c>
      <c r="H995">
        <v>1</v>
      </c>
      <c r="I995" t="s">
        <v>1046</v>
      </c>
    </row>
    <row r="996" spans="1:9" ht="13.5" thickBot="1" x14ac:dyDescent="0.25">
      <c r="A996" s="1157">
        <v>601.84</v>
      </c>
      <c r="B996" s="1109" t="s">
        <v>2691</v>
      </c>
      <c r="C996" s="1110" t="s">
        <v>2449</v>
      </c>
      <c r="D996" s="1106" t="s">
        <v>1989</v>
      </c>
      <c r="E996" s="1107" t="s">
        <v>1047</v>
      </c>
      <c r="H996">
        <v>1</v>
      </c>
      <c r="I996" t="s">
        <v>1046</v>
      </c>
    </row>
    <row r="997" spans="1:9" ht="13.5" thickBot="1" x14ac:dyDescent="0.25">
      <c r="A997" s="1108">
        <v>612.01</v>
      </c>
      <c r="B997" s="1109" t="s">
        <v>2692</v>
      </c>
      <c r="C997" s="1110" t="s">
        <v>2451</v>
      </c>
      <c r="D997" s="1106" t="s">
        <v>1989</v>
      </c>
      <c r="E997" s="1107" t="s">
        <v>1047</v>
      </c>
      <c r="F997" s="1099" t="s">
        <v>2249</v>
      </c>
      <c r="H997">
        <v>1</v>
      </c>
      <c r="I997" t="s">
        <v>1046</v>
      </c>
    </row>
    <row r="998" spans="1:9" ht="13.5" thickBot="1" x14ac:dyDescent="0.25">
      <c r="A998" s="1108">
        <v>601.62</v>
      </c>
      <c r="B998" s="1109" t="s">
        <v>2693</v>
      </c>
      <c r="C998" s="1110" t="s">
        <v>2453</v>
      </c>
      <c r="D998" s="1106" t="s">
        <v>1989</v>
      </c>
      <c r="E998" s="1107" t="s">
        <v>1047</v>
      </c>
      <c r="H998">
        <v>1</v>
      </c>
      <c r="I998" t="s">
        <v>1046</v>
      </c>
    </row>
    <row r="999" spans="1:9" ht="13.5" thickBot="1" x14ac:dyDescent="0.25">
      <c r="A999" s="1108">
        <v>601.77</v>
      </c>
      <c r="B999" s="1109" t="s">
        <v>2694</v>
      </c>
      <c r="C999" s="1110" t="s">
        <v>2455</v>
      </c>
      <c r="D999" s="1106" t="s">
        <v>1989</v>
      </c>
      <c r="E999" s="1107" t="s">
        <v>1047</v>
      </c>
      <c r="H999">
        <v>1</v>
      </c>
      <c r="I999" t="s">
        <v>1046</v>
      </c>
    </row>
    <row r="1000" spans="1:9" ht="13.5" thickBot="1" x14ac:dyDescent="0.25">
      <c r="A1000" s="1108">
        <v>601.5</v>
      </c>
      <c r="B1000" s="1109" t="s">
        <v>2695</v>
      </c>
      <c r="C1000" s="1110" t="s">
        <v>2457</v>
      </c>
      <c r="D1000" s="1106" t="s">
        <v>1989</v>
      </c>
      <c r="E1000" s="1107" t="s">
        <v>1047</v>
      </c>
      <c r="H1000">
        <v>1</v>
      </c>
      <c r="I1000" t="s">
        <v>1046</v>
      </c>
    </row>
    <row r="1001" spans="1:9" ht="13.5" thickBot="1" x14ac:dyDescent="0.25">
      <c r="A1001" s="1108">
        <v>601.5</v>
      </c>
      <c r="B1001" s="1109" t="s">
        <v>2696</v>
      </c>
      <c r="C1001" s="1110" t="s">
        <v>2459</v>
      </c>
      <c r="D1001" s="1106" t="s">
        <v>1989</v>
      </c>
      <c r="E1001" s="1107" t="s">
        <v>1047</v>
      </c>
      <c r="H1001">
        <v>1</v>
      </c>
      <c r="I1001" t="s">
        <v>1046</v>
      </c>
    </row>
    <row r="1002" spans="1:9" ht="13.5" thickBot="1" x14ac:dyDescent="0.25">
      <c r="A1002" s="1108">
        <v>601.51</v>
      </c>
      <c r="B1002" s="1109" t="s">
        <v>2697</v>
      </c>
      <c r="C1002" s="1110" t="s">
        <v>2461</v>
      </c>
      <c r="D1002" s="1106" t="s">
        <v>1989</v>
      </c>
      <c r="E1002" s="1107" t="s">
        <v>1047</v>
      </c>
      <c r="H1002">
        <v>1</v>
      </c>
      <c r="I1002" t="s">
        <v>1046</v>
      </c>
    </row>
    <row r="1003" spans="1:9" ht="13.5" thickBot="1" x14ac:dyDescent="0.25">
      <c r="A1003" s="1108">
        <v>601.52</v>
      </c>
      <c r="B1003" s="1109" t="s">
        <v>2698</v>
      </c>
      <c r="C1003" s="1110" t="s">
        <v>2463</v>
      </c>
      <c r="D1003" s="1106" t="s">
        <v>1989</v>
      </c>
      <c r="E1003" s="1107" t="s">
        <v>1047</v>
      </c>
      <c r="H1003">
        <v>1</v>
      </c>
      <c r="I1003" t="s">
        <v>1046</v>
      </c>
    </row>
    <row r="1004" spans="1:9" ht="13.5" thickBot="1" x14ac:dyDescent="0.25">
      <c r="A1004" s="1108">
        <v>601.53</v>
      </c>
      <c r="B1004" s="1109" t="s">
        <v>2699</v>
      </c>
      <c r="C1004" s="1110" t="s">
        <v>2465</v>
      </c>
      <c r="D1004" s="1106" t="s">
        <v>1989</v>
      </c>
      <c r="E1004" s="1107" t="s">
        <v>1047</v>
      </c>
      <c r="H1004">
        <v>1</v>
      </c>
      <c r="I1004" t="s">
        <v>1046</v>
      </c>
    </row>
    <row r="1005" spans="1:9" ht="13.5" thickBot="1" x14ac:dyDescent="0.25">
      <c r="A1005" s="1108">
        <v>601.54</v>
      </c>
      <c r="B1005" s="1109" t="s">
        <v>2700</v>
      </c>
      <c r="C1005" s="1110" t="s">
        <v>2467</v>
      </c>
      <c r="D1005" s="1106" t="s">
        <v>1989</v>
      </c>
      <c r="E1005" s="1107" t="s">
        <v>1047</v>
      </c>
      <c r="H1005">
        <v>1</v>
      </c>
      <c r="I1005" t="s">
        <v>1046</v>
      </c>
    </row>
    <row r="1006" spans="1:9" ht="13.5" thickBot="1" x14ac:dyDescent="0.25">
      <c r="A1006" s="1108">
        <v>601.57000000000005</v>
      </c>
      <c r="B1006" s="1109" t="s">
        <v>2701</v>
      </c>
      <c r="C1006" s="1110" t="s">
        <v>2469</v>
      </c>
      <c r="D1006" s="1106" t="s">
        <v>1989</v>
      </c>
      <c r="E1006" s="1107" t="s">
        <v>1047</v>
      </c>
      <c r="H1006">
        <v>1</v>
      </c>
      <c r="I1006" t="s">
        <v>1046</v>
      </c>
    </row>
    <row r="1007" spans="1:9" ht="13.5" thickBot="1" x14ac:dyDescent="0.25">
      <c r="A1007" s="1108">
        <v>601.57000000000005</v>
      </c>
      <c r="B1007" s="1109" t="s">
        <v>2702</v>
      </c>
      <c r="C1007" s="1110" t="s">
        <v>2471</v>
      </c>
      <c r="D1007" s="1106" t="s">
        <v>1989</v>
      </c>
      <c r="E1007" s="1107" t="s">
        <v>1047</v>
      </c>
      <c r="H1007">
        <v>1</v>
      </c>
      <c r="I1007" t="s">
        <v>1046</v>
      </c>
    </row>
    <row r="1008" spans="1:9" ht="13.5" thickBot="1" x14ac:dyDescent="0.25">
      <c r="A1008" s="1108">
        <v>601.58000000000004</v>
      </c>
      <c r="B1008" s="1109" t="s">
        <v>2703</v>
      </c>
      <c r="C1008" s="1110" t="s">
        <v>2473</v>
      </c>
      <c r="D1008" s="1106" t="s">
        <v>1989</v>
      </c>
      <c r="E1008" s="1107" t="s">
        <v>1047</v>
      </c>
      <c r="H1008">
        <v>1</v>
      </c>
      <c r="I1008" t="s">
        <v>1046</v>
      </c>
    </row>
    <row r="1009" spans="1:9" ht="13.5" thickBot="1" x14ac:dyDescent="0.25">
      <c r="A1009" s="1108">
        <v>601.59</v>
      </c>
      <c r="B1009" s="1109" t="s">
        <v>2704</v>
      </c>
      <c r="C1009" s="1110" t="s">
        <v>2475</v>
      </c>
      <c r="D1009" s="1106" t="s">
        <v>1989</v>
      </c>
      <c r="E1009" s="1107" t="s">
        <v>1047</v>
      </c>
      <c r="H1009">
        <v>1</v>
      </c>
      <c r="I1009" t="s">
        <v>1046</v>
      </c>
    </row>
    <row r="1010" spans="1:9" ht="13.5" thickBot="1" x14ac:dyDescent="0.25">
      <c r="A1010" s="1108">
        <v>612.01</v>
      </c>
      <c r="B1010" s="1109" t="s">
        <v>2705</v>
      </c>
      <c r="C1010" s="1110" t="s">
        <v>2477</v>
      </c>
      <c r="D1010" s="1106" t="s">
        <v>1989</v>
      </c>
      <c r="E1010" s="1107" t="s">
        <v>1047</v>
      </c>
      <c r="H1010">
        <v>1</v>
      </c>
      <c r="I1010" t="s">
        <v>1046</v>
      </c>
    </row>
    <row r="1011" spans="1:9" ht="13.5" thickBot="1" x14ac:dyDescent="0.25">
      <c r="A1011" s="1108">
        <v>601.83000000000004</v>
      </c>
      <c r="B1011" s="1109" t="s">
        <v>2706</v>
      </c>
      <c r="C1011" s="1110" t="s">
        <v>2707</v>
      </c>
      <c r="D1011" s="1106" t="s">
        <v>1989</v>
      </c>
      <c r="E1011" s="1107" t="s">
        <v>1047</v>
      </c>
      <c r="H1011">
        <v>1</v>
      </c>
      <c r="I1011" t="s">
        <v>1046</v>
      </c>
    </row>
    <row r="1012" spans="1:9" ht="13.5" thickBot="1" x14ac:dyDescent="0.25">
      <c r="A1012" s="1108">
        <v>601.6</v>
      </c>
      <c r="B1012" s="1109" t="s">
        <v>2708</v>
      </c>
      <c r="C1012" s="1110" t="s">
        <v>2481</v>
      </c>
      <c r="D1012" s="1106" t="s">
        <v>1989</v>
      </c>
      <c r="E1012" s="1107" t="s">
        <v>1047</v>
      </c>
      <c r="H1012">
        <v>1</v>
      </c>
      <c r="I1012" t="s">
        <v>1046</v>
      </c>
    </row>
    <row r="1013" spans="1:9" ht="13.5" thickBot="1" x14ac:dyDescent="0.25">
      <c r="A1013" s="1108">
        <v>601.61</v>
      </c>
      <c r="B1013" s="1109" t="s">
        <v>2709</v>
      </c>
      <c r="C1013" s="1110" t="s">
        <v>2483</v>
      </c>
      <c r="D1013" s="1106" t="s">
        <v>1989</v>
      </c>
      <c r="E1013" s="1107" t="s">
        <v>1047</v>
      </c>
      <c r="H1013">
        <v>1</v>
      </c>
      <c r="I1013" t="s">
        <v>1046</v>
      </c>
    </row>
    <row r="1014" spans="1:9" ht="13.5" thickBot="1" x14ac:dyDescent="0.25">
      <c r="A1014" s="1108">
        <v>601.63</v>
      </c>
      <c r="B1014" s="1109" t="s">
        <v>2710</v>
      </c>
      <c r="C1014" s="1110" t="s">
        <v>2485</v>
      </c>
      <c r="D1014" s="1106" t="s">
        <v>1989</v>
      </c>
      <c r="E1014" s="1107" t="s">
        <v>1047</v>
      </c>
      <c r="H1014">
        <v>1</v>
      </c>
      <c r="I1014" t="s">
        <v>1046</v>
      </c>
    </row>
    <row r="1015" spans="1:9" ht="13.5" thickBot="1" x14ac:dyDescent="0.25">
      <c r="A1015" s="1108">
        <v>601.63</v>
      </c>
      <c r="B1015" s="1109" t="s">
        <v>2711</v>
      </c>
      <c r="C1015" s="1110" t="s">
        <v>2487</v>
      </c>
      <c r="D1015" s="1106" t="s">
        <v>1989</v>
      </c>
      <c r="E1015" s="1107" t="s">
        <v>1047</v>
      </c>
      <c r="H1015">
        <v>1</v>
      </c>
      <c r="I1015" t="s">
        <v>1046</v>
      </c>
    </row>
    <row r="1016" spans="1:9" ht="13.5" thickBot="1" x14ac:dyDescent="0.25">
      <c r="A1016" s="1108">
        <v>601.64</v>
      </c>
      <c r="B1016" s="1109" t="s">
        <v>2712</v>
      </c>
      <c r="C1016" s="1110" t="s">
        <v>2489</v>
      </c>
      <c r="D1016" s="1106" t="s">
        <v>1989</v>
      </c>
      <c r="E1016" s="1107" t="s">
        <v>1047</v>
      </c>
      <c r="H1016">
        <v>1</v>
      </c>
      <c r="I1016" t="s">
        <v>1046</v>
      </c>
    </row>
    <row r="1017" spans="1:9" ht="13.5" thickBot="1" x14ac:dyDescent="0.25">
      <c r="A1017" s="1108">
        <v>601.65</v>
      </c>
      <c r="B1017" s="1109" t="s">
        <v>2713</v>
      </c>
      <c r="C1017" s="1110" t="s">
        <v>2491</v>
      </c>
      <c r="D1017" s="1106" t="s">
        <v>1989</v>
      </c>
      <c r="E1017" s="1107" t="s">
        <v>1047</v>
      </c>
      <c r="H1017">
        <v>1</v>
      </c>
      <c r="I1017" t="s">
        <v>1046</v>
      </c>
    </row>
    <row r="1018" spans="1:9" ht="13.5" thickBot="1" x14ac:dyDescent="0.25">
      <c r="A1018" s="1108">
        <v>601.66</v>
      </c>
      <c r="B1018" s="1109" t="s">
        <v>2714</v>
      </c>
      <c r="C1018" s="1110" t="s">
        <v>2493</v>
      </c>
      <c r="D1018" s="1106" t="s">
        <v>1989</v>
      </c>
      <c r="E1018" s="1107" t="s">
        <v>1047</v>
      </c>
      <c r="H1018">
        <v>1</v>
      </c>
      <c r="I1018" t="s">
        <v>1046</v>
      </c>
    </row>
    <row r="1019" spans="1:9" ht="13.5" thickBot="1" x14ac:dyDescent="0.25">
      <c r="A1019" s="1108">
        <v>601.66999999999996</v>
      </c>
      <c r="B1019" s="1109" t="s">
        <v>2715</v>
      </c>
      <c r="C1019" s="1110" t="s">
        <v>2495</v>
      </c>
      <c r="D1019" s="1106" t="s">
        <v>1989</v>
      </c>
      <c r="E1019" s="1107" t="s">
        <v>1047</v>
      </c>
      <c r="H1019">
        <v>1</v>
      </c>
      <c r="I1019" t="s">
        <v>1046</v>
      </c>
    </row>
    <row r="1020" spans="1:9" ht="13.5" thickBot="1" x14ac:dyDescent="0.25">
      <c r="A1020" s="1108">
        <v>601.67999999999995</v>
      </c>
      <c r="B1020" s="1109" t="s">
        <v>2716</v>
      </c>
      <c r="C1020" s="1110" t="s">
        <v>2497</v>
      </c>
      <c r="D1020" s="1106" t="s">
        <v>1989</v>
      </c>
      <c r="E1020" s="1107" t="s">
        <v>1047</v>
      </c>
      <c r="H1020">
        <v>1</v>
      </c>
      <c r="I1020" t="s">
        <v>1046</v>
      </c>
    </row>
    <row r="1021" spans="1:9" ht="13.5" thickBot="1" x14ac:dyDescent="0.25">
      <c r="A1021" s="1108">
        <v>601.69000000000005</v>
      </c>
      <c r="B1021" s="1109" t="s">
        <v>2717</v>
      </c>
      <c r="C1021" s="1110" t="s">
        <v>2499</v>
      </c>
      <c r="D1021" s="1106" t="s">
        <v>1989</v>
      </c>
      <c r="E1021" s="1107" t="s">
        <v>1047</v>
      </c>
      <c r="H1021">
        <v>1</v>
      </c>
      <c r="I1021" t="s">
        <v>1046</v>
      </c>
    </row>
    <row r="1022" spans="1:9" ht="13.5" thickBot="1" x14ac:dyDescent="0.25">
      <c r="A1022" s="1108">
        <v>601.70000000000005</v>
      </c>
      <c r="B1022" s="1109" t="s">
        <v>2718</v>
      </c>
      <c r="C1022" s="1110" t="s">
        <v>2501</v>
      </c>
      <c r="D1022" s="1106" t="s">
        <v>1989</v>
      </c>
      <c r="E1022" s="1107" t="s">
        <v>1047</v>
      </c>
      <c r="H1022">
        <v>1</v>
      </c>
      <c r="I1022" t="s">
        <v>1046</v>
      </c>
    </row>
    <row r="1023" spans="1:9" ht="13.5" thickBot="1" x14ac:dyDescent="0.25">
      <c r="A1023" s="1108">
        <v>601.71</v>
      </c>
      <c r="B1023" s="1109" t="s">
        <v>2719</v>
      </c>
      <c r="C1023" s="1110" t="s">
        <v>2503</v>
      </c>
      <c r="D1023" s="1106" t="s">
        <v>1989</v>
      </c>
      <c r="E1023" s="1107" t="s">
        <v>1047</v>
      </c>
      <c r="H1023">
        <v>1</v>
      </c>
      <c r="I1023" t="s">
        <v>1046</v>
      </c>
    </row>
    <row r="1024" spans="1:9" ht="13.5" thickBot="1" x14ac:dyDescent="0.25">
      <c r="A1024" s="1108">
        <v>601.72</v>
      </c>
      <c r="B1024" s="1109" t="s">
        <v>2720</v>
      </c>
      <c r="C1024" s="1110" t="s">
        <v>2505</v>
      </c>
      <c r="D1024" s="1106" t="s">
        <v>1989</v>
      </c>
      <c r="E1024" s="1107" t="s">
        <v>1047</v>
      </c>
      <c r="H1024">
        <v>1</v>
      </c>
      <c r="I1024" t="s">
        <v>1046</v>
      </c>
    </row>
    <row r="1025" spans="1:9" ht="13.5" thickBot="1" x14ac:dyDescent="0.25">
      <c r="A1025" s="1108">
        <v>601.72</v>
      </c>
      <c r="B1025" s="1109" t="s">
        <v>2721</v>
      </c>
      <c r="C1025" s="1110" t="s">
        <v>2507</v>
      </c>
      <c r="D1025" s="1106" t="s">
        <v>1989</v>
      </c>
      <c r="E1025" s="1107" t="s">
        <v>1047</v>
      </c>
      <c r="H1025">
        <v>1</v>
      </c>
      <c r="I1025" t="s">
        <v>1046</v>
      </c>
    </row>
    <row r="1026" spans="1:9" ht="13.5" thickBot="1" x14ac:dyDescent="0.25">
      <c r="A1026" s="1108">
        <v>601.73</v>
      </c>
      <c r="B1026" s="1109" t="s">
        <v>2722</v>
      </c>
      <c r="C1026" s="1110" t="s">
        <v>2509</v>
      </c>
      <c r="D1026" s="1106" t="s">
        <v>1989</v>
      </c>
      <c r="E1026" s="1107" t="s">
        <v>1047</v>
      </c>
      <c r="H1026">
        <v>1</v>
      </c>
      <c r="I1026" t="s">
        <v>1046</v>
      </c>
    </row>
    <row r="1027" spans="1:9" ht="13.5" thickBot="1" x14ac:dyDescent="0.25">
      <c r="A1027" s="1108">
        <v>601.73</v>
      </c>
      <c r="B1027" s="1109" t="s">
        <v>2723</v>
      </c>
      <c r="C1027" s="1110" t="s">
        <v>2511</v>
      </c>
      <c r="D1027" s="1106" t="s">
        <v>1989</v>
      </c>
      <c r="E1027" s="1107" t="s">
        <v>1047</v>
      </c>
      <c r="H1027">
        <v>1</v>
      </c>
      <c r="I1027" t="s">
        <v>1046</v>
      </c>
    </row>
    <row r="1028" spans="1:9" ht="13.5" thickBot="1" x14ac:dyDescent="0.25">
      <c r="A1028" s="1108">
        <v>601.73</v>
      </c>
      <c r="B1028" s="1109" t="s">
        <v>2724</v>
      </c>
      <c r="C1028" s="1110" t="s">
        <v>2513</v>
      </c>
      <c r="D1028" s="1106" t="s">
        <v>1989</v>
      </c>
      <c r="E1028" s="1107" t="s">
        <v>1047</v>
      </c>
      <c r="H1028">
        <v>1</v>
      </c>
      <c r="I1028" t="s">
        <v>1046</v>
      </c>
    </row>
    <row r="1029" spans="1:9" ht="13.5" thickBot="1" x14ac:dyDescent="0.25">
      <c r="A1029" s="1108">
        <v>601.84</v>
      </c>
      <c r="B1029" s="1109" t="s">
        <v>2725</v>
      </c>
      <c r="C1029" s="1110" t="s">
        <v>2515</v>
      </c>
      <c r="D1029" s="1106" t="s">
        <v>1989</v>
      </c>
      <c r="E1029" s="1107" t="s">
        <v>1047</v>
      </c>
      <c r="H1029">
        <v>1</v>
      </c>
      <c r="I1029" t="s">
        <v>1046</v>
      </c>
    </row>
    <row r="1030" spans="1:9" ht="13.5" thickBot="1" x14ac:dyDescent="0.25">
      <c r="A1030" s="1108">
        <v>601.83000000000004</v>
      </c>
      <c r="B1030" s="1109" t="s">
        <v>2726</v>
      </c>
      <c r="C1030" s="1110" t="s">
        <v>2517</v>
      </c>
      <c r="D1030" s="1106" t="s">
        <v>1989</v>
      </c>
      <c r="E1030" s="1107" t="s">
        <v>1047</v>
      </c>
      <c r="H1030">
        <v>1</v>
      </c>
      <c r="I1030" t="s">
        <v>1046</v>
      </c>
    </row>
    <row r="1031" spans="1:9" ht="13.5" thickBot="1" x14ac:dyDescent="0.25">
      <c r="A1031" s="1108">
        <v>601.75</v>
      </c>
      <c r="B1031" s="1109" t="s">
        <v>2727</v>
      </c>
      <c r="C1031" s="1110" t="s">
        <v>2519</v>
      </c>
      <c r="D1031" s="1106" t="s">
        <v>1989</v>
      </c>
      <c r="E1031" s="1107" t="s">
        <v>1047</v>
      </c>
      <c r="H1031">
        <v>1</v>
      </c>
      <c r="I1031" t="s">
        <v>1046</v>
      </c>
    </row>
    <row r="1032" spans="1:9" ht="13.5" thickBot="1" x14ac:dyDescent="0.25">
      <c r="A1032" s="1108">
        <v>601.75</v>
      </c>
      <c r="B1032" s="1109" t="s">
        <v>2728</v>
      </c>
      <c r="C1032" s="1110" t="s">
        <v>2729</v>
      </c>
      <c r="D1032" s="1106" t="s">
        <v>1989</v>
      </c>
      <c r="E1032" s="1107" t="s">
        <v>1047</v>
      </c>
      <c r="H1032">
        <v>1</v>
      </c>
      <c r="I1032" t="s">
        <v>1046</v>
      </c>
    </row>
    <row r="1033" spans="1:9" ht="13.5" thickBot="1" x14ac:dyDescent="0.25">
      <c r="A1033" s="1108">
        <v>601.76</v>
      </c>
      <c r="B1033" s="1109" t="s">
        <v>2730</v>
      </c>
      <c r="C1033" s="1110" t="s">
        <v>2523</v>
      </c>
      <c r="D1033" s="1106" t="s">
        <v>1989</v>
      </c>
      <c r="E1033" s="1107" t="s">
        <v>1047</v>
      </c>
      <c r="H1033">
        <v>1</v>
      </c>
      <c r="I1033" t="s">
        <v>1046</v>
      </c>
    </row>
    <row r="1034" spans="1:9" ht="13.5" thickBot="1" x14ac:dyDescent="0.25">
      <c r="A1034" s="1108">
        <v>601.78</v>
      </c>
      <c r="B1034" s="1109" t="s">
        <v>2731</v>
      </c>
      <c r="C1034" s="1110" t="s">
        <v>2525</v>
      </c>
      <c r="D1034" s="1106" t="s">
        <v>1989</v>
      </c>
      <c r="E1034" s="1107" t="s">
        <v>1047</v>
      </c>
      <c r="H1034">
        <v>1</v>
      </c>
      <c r="I1034" t="s">
        <v>1046</v>
      </c>
    </row>
    <row r="1035" spans="1:9" ht="13.5" thickBot="1" x14ac:dyDescent="0.25">
      <c r="A1035" s="1108">
        <v>601.80999999999995</v>
      </c>
      <c r="B1035" s="1109" t="s">
        <v>2732</v>
      </c>
      <c r="C1035" s="1110" t="s">
        <v>2527</v>
      </c>
      <c r="D1035" s="1106" t="s">
        <v>1989</v>
      </c>
      <c r="E1035" s="1107" t="s">
        <v>1047</v>
      </c>
      <c r="H1035">
        <v>1</v>
      </c>
      <c r="I1035" t="s">
        <v>1046</v>
      </c>
    </row>
    <row r="1036" spans="1:9" ht="13.5" thickBot="1" x14ac:dyDescent="0.25">
      <c r="A1036" s="1108">
        <v>601.83000000000004</v>
      </c>
      <c r="B1036" s="1109" t="s">
        <v>2733</v>
      </c>
      <c r="C1036" s="1110" t="s">
        <v>2529</v>
      </c>
      <c r="D1036" s="1106" t="s">
        <v>1989</v>
      </c>
      <c r="E1036" s="1107" t="s">
        <v>1047</v>
      </c>
      <c r="F1036" s="1099" t="s">
        <v>2249</v>
      </c>
      <c r="H1036">
        <v>1</v>
      </c>
      <c r="I1036" t="s">
        <v>1046</v>
      </c>
    </row>
    <row r="1037" spans="1:9" ht="13.5" thickBot="1" x14ac:dyDescent="0.25">
      <c r="A1037" s="1108">
        <v>612.01</v>
      </c>
      <c r="B1037" s="1109" t="s">
        <v>2734</v>
      </c>
      <c r="C1037" s="1144" t="s">
        <v>2531</v>
      </c>
      <c r="D1037" s="1106" t="s">
        <v>1989</v>
      </c>
      <c r="E1037" s="1107" t="s">
        <v>1047</v>
      </c>
      <c r="F1037" s="1099" t="s">
        <v>2249</v>
      </c>
      <c r="H1037">
        <v>1</v>
      </c>
      <c r="I1037" t="s">
        <v>1046</v>
      </c>
    </row>
    <row r="1038" spans="1:9" ht="13.5" thickBot="1" x14ac:dyDescent="0.25">
      <c r="A1038" s="1108">
        <v>601.83000000000004</v>
      </c>
      <c r="B1038" s="1109" t="s">
        <v>2735</v>
      </c>
      <c r="C1038" s="1110" t="s">
        <v>2533</v>
      </c>
      <c r="D1038" s="1106" t="s">
        <v>1989</v>
      </c>
      <c r="E1038" s="1107" t="s">
        <v>1047</v>
      </c>
      <c r="F1038" s="1099" t="s">
        <v>2249</v>
      </c>
      <c r="H1038">
        <v>1</v>
      </c>
      <c r="I1038" t="s">
        <v>1046</v>
      </c>
    </row>
    <row r="1039" spans="1:9" ht="13.5" thickBot="1" x14ac:dyDescent="0.25">
      <c r="A1039" s="1157">
        <v>601.84</v>
      </c>
      <c r="B1039" s="1109" t="s">
        <v>2736</v>
      </c>
      <c r="C1039" s="1137" t="s">
        <v>2535</v>
      </c>
      <c r="D1039" s="1106" t="s">
        <v>1989</v>
      </c>
      <c r="E1039" s="1107" t="s">
        <v>1047</v>
      </c>
      <c r="H1039">
        <v>1</v>
      </c>
      <c r="I1039" t="s">
        <v>1046</v>
      </c>
    </row>
    <row r="1040" spans="1:9" ht="13.5" thickBot="1" x14ac:dyDescent="0.25">
      <c r="A1040" s="1108">
        <v>606.01</v>
      </c>
      <c r="B1040" s="1109" t="s">
        <v>2737</v>
      </c>
      <c r="C1040" s="1110" t="s">
        <v>2537</v>
      </c>
      <c r="D1040" s="1106" t="s">
        <v>1989</v>
      </c>
      <c r="E1040" s="1107" t="s">
        <v>1047</v>
      </c>
      <c r="H1040">
        <v>1</v>
      </c>
      <c r="I1040" t="s">
        <v>1046</v>
      </c>
    </row>
    <row r="1041" spans="1:9" ht="13.5" thickBot="1" x14ac:dyDescent="0.25">
      <c r="A1041" s="1160">
        <v>701</v>
      </c>
      <c r="B1041" s="1104" t="s">
        <v>2738</v>
      </c>
      <c r="C1041" s="1159" t="s">
        <v>2739</v>
      </c>
      <c r="D1041" s="1106"/>
      <c r="I1041"/>
    </row>
    <row r="1042" spans="1:9" ht="13.5" thickBot="1" x14ac:dyDescent="0.25">
      <c r="A1042" s="1108">
        <v>701.01</v>
      </c>
      <c r="B1042" s="1109" t="s">
        <v>2740</v>
      </c>
      <c r="C1042" s="1110" t="s">
        <v>2741</v>
      </c>
      <c r="D1042" s="1106" t="s">
        <v>1046</v>
      </c>
      <c r="E1042" s="1107" t="s">
        <v>1047</v>
      </c>
      <c r="H1042">
        <v>1</v>
      </c>
      <c r="I1042" t="s">
        <v>1046</v>
      </c>
    </row>
    <row r="1043" spans="1:9" ht="13.5" thickBot="1" x14ac:dyDescent="0.25">
      <c r="A1043" s="1108">
        <v>701.01</v>
      </c>
      <c r="B1043" s="1109" t="s">
        <v>2742</v>
      </c>
      <c r="C1043" s="1110" t="s">
        <v>2743</v>
      </c>
      <c r="D1043" s="1106" t="s">
        <v>1046</v>
      </c>
      <c r="E1043" s="1107" t="s">
        <v>1047</v>
      </c>
      <c r="H1043">
        <v>1</v>
      </c>
      <c r="I1043" t="s">
        <v>1046</v>
      </c>
    </row>
    <row r="1044" spans="1:9" ht="13.5" thickBot="1" x14ac:dyDescent="0.25">
      <c r="A1044" s="1108">
        <v>701.02</v>
      </c>
      <c r="B1044" s="1109" t="s">
        <v>2744</v>
      </c>
      <c r="C1044" s="1110" t="s">
        <v>2745</v>
      </c>
      <c r="D1044" s="1106" t="s">
        <v>1046</v>
      </c>
      <c r="E1044" s="1107" t="s">
        <v>1047</v>
      </c>
      <c r="H1044">
        <v>1</v>
      </c>
      <c r="I1044" t="s">
        <v>1046</v>
      </c>
    </row>
    <row r="1045" spans="1:9" ht="13.5" thickBot="1" x14ac:dyDescent="0.25">
      <c r="A1045" s="1108">
        <v>701.02</v>
      </c>
      <c r="B1045" s="1109" t="s">
        <v>2746</v>
      </c>
      <c r="C1045" s="1110" t="s">
        <v>2747</v>
      </c>
      <c r="D1045" s="1106" t="s">
        <v>1046</v>
      </c>
      <c r="E1045" s="1107" t="s">
        <v>1047</v>
      </c>
      <c r="H1045">
        <v>1</v>
      </c>
      <c r="I1045" t="s">
        <v>1046</v>
      </c>
    </row>
    <row r="1046" spans="1:9" ht="13.5" thickBot="1" x14ac:dyDescent="0.25">
      <c r="A1046" s="1108">
        <v>701.03</v>
      </c>
      <c r="B1046" s="1109" t="s">
        <v>2748</v>
      </c>
      <c r="C1046" s="1110" t="s">
        <v>2749</v>
      </c>
      <c r="D1046" s="1106" t="s">
        <v>1046</v>
      </c>
      <c r="E1046" s="1107" t="s">
        <v>1047</v>
      </c>
      <c r="H1046">
        <v>1</v>
      </c>
      <c r="I1046" t="s">
        <v>1046</v>
      </c>
    </row>
    <row r="1047" spans="1:9" ht="13.5" thickBot="1" x14ac:dyDescent="0.25">
      <c r="A1047" s="1108">
        <v>701.03</v>
      </c>
      <c r="B1047" s="1109" t="s">
        <v>2750</v>
      </c>
      <c r="C1047" s="1110" t="s">
        <v>2751</v>
      </c>
      <c r="D1047" s="1106" t="s">
        <v>1046</v>
      </c>
      <c r="E1047" s="1107" t="s">
        <v>1047</v>
      </c>
      <c r="H1047">
        <v>1</v>
      </c>
      <c r="I1047" t="s">
        <v>1046</v>
      </c>
    </row>
    <row r="1048" spans="1:9" ht="13.5" thickBot="1" x14ac:dyDescent="0.25">
      <c r="A1048" s="1108">
        <v>701.04</v>
      </c>
      <c r="B1048" s="1109" t="s">
        <v>2752</v>
      </c>
      <c r="C1048" s="1110" t="s">
        <v>2753</v>
      </c>
      <c r="D1048" s="1106" t="s">
        <v>1046</v>
      </c>
      <c r="E1048" s="1107" t="s">
        <v>1047</v>
      </c>
      <c r="H1048">
        <v>1</v>
      </c>
      <c r="I1048" t="s">
        <v>1046</v>
      </c>
    </row>
    <row r="1049" spans="1:9" ht="13.5" thickBot="1" x14ac:dyDescent="0.25">
      <c r="A1049" s="1108">
        <v>701.05</v>
      </c>
      <c r="B1049" s="1109" t="s">
        <v>2754</v>
      </c>
      <c r="C1049" s="1110" t="s">
        <v>2755</v>
      </c>
      <c r="D1049" s="1106" t="s">
        <v>1046</v>
      </c>
      <c r="E1049" s="1107" t="s">
        <v>1047</v>
      </c>
      <c r="H1049">
        <v>1</v>
      </c>
      <c r="I1049" t="s">
        <v>1046</v>
      </c>
    </row>
    <row r="1050" spans="1:9" ht="13.5" thickBot="1" x14ac:dyDescent="0.25">
      <c r="A1050" s="1108">
        <v>701.06</v>
      </c>
      <c r="B1050" s="1109" t="s">
        <v>2756</v>
      </c>
      <c r="C1050" s="1110" t="s">
        <v>2757</v>
      </c>
      <c r="D1050" s="1106" t="s">
        <v>1046</v>
      </c>
      <c r="E1050" s="1107" t="s">
        <v>1047</v>
      </c>
      <c r="H1050">
        <v>1</v>
      </c>
      <c r="I1050" t="s">
        <v>1046</v>
      </c>
    </row>
    <row r="1051" spans="1:9" ht="13.5" thickBot="1" x14ac:dyDescent="0.25">
      <c r="A1051" s="1108">
        <v>701.07</v>
      </c>
      <c r="B1051" s="1109" t="s">
        <v>2758</v>
      </c>
      <c r="C1051" s="1110" t="s">
        <v>2759</v>
      </c>
      <c r="D1051" s="1106" t="s">
        <v>1046</v>
      </c>
      <c r="E1051" s="1107" t="s">
        <v>1047</v>
      </c>
      <c r="H1051">
        <v>1</v>
      </c>
      <c r="I1051" t="s">
        <v>1046</v>
      </c>
    </row>
    <row r="1052" spans="1:9" ht="13.5" thickBot="1" x14ac:dyDescent="0.25">
      <c r="A1052" s="1108">
        <v>701.08</v>
      </c>
      <c r="B1052" s="1109" t="s">
        <v>2760</v>
      </c>
      <c r="C1052" s="1110" t="s">
        <v>2761</v>
      </c>
      <c r="D1052" s="1106" t="s">
        <v>1046</v>
      </c>
      <c r="E1052" s="1107" t="s">
        <v>1047</v>
      </c>
      <c r="H1052">
        <v>1</v>
      </c>
      <c r="I1052" t="s">
        <v>1046</v>
      </c>
    </row>
    <row r="1053" spans="1:9" ht="13.5" thickBot="1" x14ac:dyDescent="0.25">
      <c r="A1053" s="1108">
        <v>701.09</v>
      </c>
      <c r="B1053" s="1109" t="s">
        <v>2762</v>
      </c>
      <c r="C1053" s="1110" t="s">
        <v>2763</v>
      </c>
      <c r="D1053" s="1106" t="s">
        <v>1046</v>
      </c>
      <c r="E1053" s="1107" t="s">
        <v>1047</v>
      </c>
      <c r="H1053">
        <v>1</v>
      </c>
      <c r="I1053" t="s">
        <v>1046</v>
      </c>
    </row>
    <row r="1054" spans="1:9" ht="13.5" thickBot="1" x14ac:dyDescent="0.25">
      <c r="A1054" s="1108">
        <v>701.1</v>
      </c>
      <c r="B1054" s="1109" t="s">
        <v>2764</v>
      </c>
      <c r="C1054" s="1110" t="s">
        <v>2765</v>
      </c>
      <c r="D1054" s="1106" t="s">
        <v>1046</v>
      </c>
      <c r="E1054" s="1107" t="s">
        <v>1047</v>
      </c>
      <c r="H1054">
        <v>1</v>
      </c>
      <c r="I1054" t="s">
        <v>1046</v>
      </c>
    </row>
    <row r="1055" spans="1:9" ht="13.5" thickBot="1" x14ac:dyDescent="0.25">
      <c r="A1055" s="1108">
        <v>701.11</v>
      </c>
      <c r="B1055" s="1109" t="s">
        <v>2766</v>
      </c>
      <c r="C1055" s="1110" t="s">
        <v>2767</v>
      </c>
      <c r="D1055" s="1106" t="s">
        <v>1046</v>
      </c>
      <c r="E1055" s="1107" t="s">
        <v>1047</v>
      </c>
      <c r="H1055">
        <v>1</v>
      </c>
      <c r="I1055" t="s">
        <v>1046</v>
      </c>
    </row>
    <row r="1056" spans="1:9" ht="13.5" thickBot="1" x14ac:dyDescent="0.25">
      <c r="A1056" s="1160">
        <v>702</v>
      </c>
      <c r="B1056" s="1104" t="s">
        <v>2768</v>
      </c>
      <c r="C1056" s="1161" t="s">
        <v>2769</v>
      </c>
      <c r="D1056" s="1106"/>
      <c r="I1056"/>
    </row>
    <row r="1057" spans="1:9" ht="13.5" thickBot="1" x14ac:dyDescent="0.25">
      <c r="A1057" s="1108">
        <v>702.01</v>
      </c>
      <c r="B1057" s="1109" t="s">
        <v>2770</v>
      </c>
      <c r="C1057" s="1110" t="s">
        <v>242</v>
      </c>
      <c r="D1057" s="1106" t="s">
        <v>1046</v>
      </c>
      <c r="E1057" s="1107" t="s">
        <v>1134</v>
      </c>
      <c r="H1057">
        <v>1</v>
      </c>
      <c r="I1057" t="s">
        <v>1046</v>
      </c>
    </row>
    <row r="1058" spans="1:9" ht="13.5" thickBot="1" x14ac:dyDescent="0.25">
      <c r="A1058" s="1108">
        <v>702.01</v>
      </c>
      <c r="B1058" s="1109" t="s">
        <v>2771</v>
      </c>
      <c r="C1058" s="1110" t="s">
        <v>2772</v>
      </c>
      <c r="D1058" s="1106" t="s">
        <v>1046</v>
      </c>
      <c r="E1058" s="1107" t="s">
        <v>1134</v>
      </c>
      <c r="H1058">
        <v>1</v>
      </c>
      <c r="I1058" t="s">
        <v>1046</v>
      </c>
    </row>
    <row r="1059" spans="1:9" ht="13.5" thickBot="1" x14ac:dyDescent="0.25">
      <c r="A1059" s="1108">
        <v>702.02</v>
      </c>
      <c r="B1059" s="1109" t="s">
        <v>2773</v>
      </c>
      <c r="C1059" s="1110" t="s">
        <v>2774</v>
      </c>
      <c r="D1059" s="1106" t="s">
        <v>1046</v>
      </c>
      <c r="E1059" s="1107" t="s">
        <v>1134</v>
      </c>
      <c r="H1059">
        <v>1</v>
      </c>
      <c r="I1059" t="s">
        <v>1046</v>
      </c>
    </row>
    <row r="1060" spans="1:9" ht="13.5" thickBot="1" x14ac:dyDescent="0.25">
      <c r="A1060" s="1108">
        <v>702.02</v>
      </c>
      <c r="B1060" s="1109" t="s">
        <v>2775</v>
      </c>
      <c r="C1060" s="1110" t="s">
        <v>2776</v>
      </c>
      <c r="D1060" s="1106" t="s">
        <v>1046</v>
      </c>
      <c r="E1060" s="1107" t="s">
        <v>1134</v>
      </c>
      <c r="H1060">
        <v>1</v>
      </c>
      <c r="I1060" t="s">
        <v>1046</v>
      </c>
    </row>
    <row r="1061" spans="1:9" ht="13.5" thickBot="1" x14ac:dyDescent="0.25">
      <c r="A1061" s="1108">
        <v>702.03</v>
      </c>
      <c r="B1061" s="1109" t="s">
        <v>2777</v>
      </c>
      <c r="C1061" s="1110" t="s">
        <v>2778</v>
      </c>
      <c r="D1061" s="1106" t="s">
        <v>1046</v>
      </c>
      <c r="E1061" s="1107" t="s">
        <v>1134</v>
      </c>
      <c r="H1061">
        <v>1</v>
      </c>
      <c r="I1061" t="s">
        <v>1046</v>
      </c>
    </row>
    <row r="1062" spans="1:9" ht="13.5" thickBot="1" x14ac:dyDescent="0.25">
      <c r="A1062" s="1108">
        <v>702.03</v>
      </c>
      <c r="B1062" s="1109" t="s">
        <v>2779</v>
      </c>
      <c r="C1062" s="1110" t="s">
        <v>2780</v>
      </c>
      <c r="D1062" s="1106" t="s">
        <v>1046</v>
      </c>
      <c r="E1062" s="1107" t="s">
        <v>1134</v>
      </c>
      <c r="H1062">
        <v>1</v>
      </c>
      <c r="I1062" t="s">
        <v>1046</v>
      </c>
    </row>
    <row r="1063" spans="1:9" ht="13.5" thickBot="1" x14ac:dyDescent="0.25">
      <c r="A1063" s="1108">
        <v>702.04</v>
      </c>
      <c r="B1063" s="1109" t="s">
        <v>2781</v>
      </c>
      <c r="C1063" s="1110" t="s">
        <v>2782</v>
      </c>
      <c r="D1063" s="1106" t="s">
        <v>1046</v>
      </c>
      <c r="E1063" s="1107" t="s">
        <v>1134</v>
      </c>
      <c r="H1063">
        <v>1</v>
      </c>
      <c r="I1063" t="s">
        <v>1046</v>
      </c>
    </row>
    <row r="1064" spans="1:9" ht="13.5" thickBot="1" x14ac:dyDescent="0.25">
      <c r="A1064" s="1108">
        <v>702.05</v>
      </c>
      <c r="B1064" s="1109" t="s">
        <v>2783</v>
      </c>
      <c r="C1064" s="1110" t="s">
        <v>2784</v>
      </c>
      <c r="D1064" s="1106" t="s">
        <v>1046</v>
      </c>
      <c r="E1064" s="1107" t="s">
        <v>1134</v>
      </c>
      <c r="H1064">
        <v>1</v>
      </c>
      <c r="I1064" t="s">
        <v>1046</v>
      </c>
    </row>
    <row r="1065" spans="1:9" ht="13.5" thickBot="1" x14ac:dyDescent="0.25">
      <c r="A1065" s="1108">
        <v>702.06</v>
      </c>
      <c r="B1065" s="1109" t="s">
        <v>2785</v>
      </c>
      <c r="C1065" s="1110" t="s">
        <v>2786</v>
      </c>
      <c r="D1065" s="1106" t="s">
        <v>1046</v>
      </c>
      <c r="E1065" s="1107" t="s">
        <v>1134</v>
      </c>
      <c r="H1065">
        <v>1</v>
      </c>
      <c r="I1065" t="s">
        <v>1046</v>
      </c>
    </row>
    <row r="1066" spans="1:9" ht="13.5" thickBot="1" x14ac:dyDescent="0.25">
      <c r="A1066" s="1108">
        <v>702.07</v>
      </c>
      <c r="B1066" s="1109" t="s">
        <v>2787</v>
      </c>
      <c r="C1066" s="1110" t="s">
        <v>2788</v>
      </c>
      <c r="D1066" s="1106" t="s">
        <v>1046</v>
      </c>
      <c r="E1066" s="1107" t="s">
        <v>1134</v>
      </c>
      <c r="H1066">
        <v>1</v>
      </c>
      <c r="I1066" t="s">
        <v>1046</v>
      </c>
    </row>
    <row r="1067" spans="1:9" ht="13.5" thickBot="1" x14ac:dyDescent="0.25">
      <c r="A1067" s="1108">
        <v>702.08</v>
      </c>
      <c r="B1067" s="1109" t="s">
        <v>2789</v>
      </c>
      <c r="C1067" s="1110" t="s">
        <v>2790</v>
      </c>
      <c r="D1067" s="1106" t="s">
        <v>1046</v>
      </c>
      <c r="E1067" s="1107" t="s">
        <v>1134</v>
      </c>
      <c r="H1067">
        <v>1</v>
      </c>
      <c r="I1067" t="s">
        <v>1046</v>
      </c>
    </row>
    <row r="1068" spans="1:9" ht="13.5" thickBot="1" x14ac:dyDescent="0.25">
      <c r="A1068" s="1108">
        <v>702.09</v>
      </c>
      <c r="B1068" s="1109" t="s">
        <v>2791</v>
      </c>
      <c r="C1068" s="1110" t="s">
        <v>2792</v>
      </c>
      <c r="D1068" s="1106" t="s">
        <v>1046</v>
      </c>
      <c r="E1068" s="1107" t="s">
        <v>1134</v>
      </c>
      <c r="H1068">
        <v>1</v>
      </c>
      <c r="I1068" t="s">
        <v>1046</v>
      </c>
    </row>
    <row r="1069" spans="1:9" ht="13.5" thickBot="1" x14ac:dyDescent="0.25">
      <c r="A1069" s="1108">
        <v>702.1</v>
      </c>
      <c r="B1069" s="1109" t="s">
        <v>2793</v>
      </c>
      <c r="C1069" s="1110" t="s">
        <v>2794</v>
      </c>
      <c r="D1069" s="1106" t="s">
        <v>1046</v>
      </c>
      <c r="E1069" s="1107" t="s">
        <v>1134</v>
      </c>
      <c r="H1069">
        <v>1</v>
      </c>
      <c r="I1069" t="s">
        <v>1046</v>
      </c>
    </row>
    <row r="1070" spans="1:9" ht="13.5" thickBot="1" x14ac:dyDescent="0.25">
      <c r="A1070" s="1160">
        <v>703</v>
      </c>
      <c r="B1070" s="1104" t="s">
        <v>2795</v>
      </c>
      <c r="C1070" s="1161" t="s">
        <v>2796</v>
      </c>
      <c r="D1070" s="1106"/>
      <c r="I1070"/>
    </row>
    <row r="1071" spans="1:9" ht="13.5" thickBot="1" x14ac:dyDescent="0.25">
      <c r="A1071" s="1108">
        <v>703.01</v>
      </c>
      <c r="B1071" s="1109" t="s">
        <v>2797</v>
      </c>
      <c r="C1071" s="1110" t="s">
        <v>2798</v>
      </c>
      <c r="D1071" s="1106" t="s">
        <v>1046</v>
      </c>
      <c r="E1071" s="1107" t="s">
        <v>1047</v>
      </c>
      <c r="H1071">
        <v>1</v>
      </c>
      <c r="I1071" t="s">
        <v>1046</v>
      </c>
    </row>
    <row r="1072" spans="1:9" ht="13.5" thickBot="1" x14ac:dyDescent="0.25">
      <c r="A1072" s="1108">
        <v>703.02</v>
      </c>
      <c r="B1072" s="1109" t="s">
        <v>2799</v>
      </c>
      <c r="C1072" s="1110" t="s">
        <v>2800</v>
      </c>
      <c r="D1072" s="1106" t="s">
        <v>1046</v>
      </c>
      <c r="E1072" s="1107" t="s">
        <v>1047</v>
      </c>
      <c r="H1072">
        <v>1</v>
      </c>
      <c r="I1072" t="s">
        <v>1046</v>
      </c>
    </row>
    <row r="1073" spans="1:9" ht="13.5" thickBot="1" x14ac:dyDescent="0.25">
      <c r="A1073" s="1108">
        <v>703.03</v>
      </c>
      <c r="B1073" s="1109" t="s">
        <v>2801</v>
      </c>
      <c r="C1073" s="1110" t="s">
        <v>2802</v>
      </c>
      <c r="D1073" s="1106" t="s">
        <v>1046</v>
      </c>
      <c r="E1073" s="1107" t="s">
        <v>1047</v>
      </c>
      <c r="H1073">
        <v>1</v>
      </c>
      <c r="I1073" t="s">
        <v>1046</v>
      </c>
    </row>
    <row r="1074" spans="1:9" ht="13.5" thickBot="1" x14ac:dyDescent="0.25">
      <c r="A1074" s="1108">
        <v>703.04</v>
      </c>
      <c r="B1074" s="1109" t="s">
        <v>2803</v>
      </c>
      <c r="C1074" s="1110" t="s">
        <v>2804</v>
      </c>
      <c r="D1074" s="1106" t="s">
        <v>1046</v>
      </c>
      <c r="E1074" s="1107" t="s">
        <v>1047</v>
      </c>
      <c r="H1074">
        <v>1</v>
      </c>
      <c r="I1074" t="s">
        <v>1046</v>
      </c>
    </row>
    <row r="1075" spans="1:9" ht="13.5" thickBot="1" x14ac:dyDescent="0.25">
      <c r="A1075" s="1108">
        <v>703.05</v>
      </c>
      <c r="B1075" s="1109" t="s">
        <v>2805</v>
      </c>
      <c r="C1075" s="1110" t="s">
        <v>2806</v>
      </c>
      <c r="D1075" s="1106" t="s">
        <v>1046</v>
      </c>
      <c r="E1075" s="1107" t="s">
        <v>1047</v>
      </c>
      <c r="H1075">
        <v>1</v>
      </c>
      <c r="I1075" t="s">
        <v>1046</v>
      </c>
    </row>
    <row r="1076" spans="1:9" ht="13.5" thickBot="1" x14ac:dyDescent="0.25">
      <c r="A1076" s="1108">
        <v>703.06</v>
      </c>
      <c r="B1076" s="1109" t="s">
        <v>2807</v>
      </c>
      <c r="C1076" s="1110" t="s">
        <v>2808</v>
      </c>
      <c r="D1076" s="1106" t="s">
        <v>1046</v>
      </c>
      <c r="E1076" s="1107" t="s">
        <v>1047</v>
      </c>
      <c r="H1076">
        <v>1</v>
      </c>
      <c r="I1076" t="s">
        <v>1046</v>
      </c>
    </row>
    <row r="1077" spans="1:9" ht="13.5" thickBot="1" x14ac:dyDescent="0.25">
      <c r="A1077" s="1108">
        <v>703.07</v>
      </c>
      <c r="B1077" s="1109" t="s">
        <v>2809</v>
      </c>
      <c r="C1077" s="1110" t="s">
        <v>2810</v>
      </c>
      <c r="D1077" s="1106" t="s">
        <v>1046</v>
      </c>
      <c r="E1077" s="1107" t="s">
        <v>1047</v>
      </c>
      <c r="H1077">
        <v>1</v>
      </c>
      <c r="I1077" t="s">
        <v>1046</v>
      </c>
    </row>
    <row r="1078" spans="1:9" ht="13.5" thickBot="1" x14ac:dyDescent="0.25">
      <c r="A1078" s="1108">
        <v>703.08</v>
      </c>
      <c r="B1078" s="1109" t="s">
        <v>2811</v>
      </c>
      <c r="C1078" s="1110" t="s">
        <v>2812</v>
      </c>
      <c r="D1078" s="1106" t="s">
        <v>1046</v>
      </c>
      <c r="E1078" s="1107" t="s">
        <v>1047</v>
      </c>
      <c r="H1078">
        <v>1</v>
      </c>
      <c r="I1078" t="s">
        <v>1046</v>
      </c>
    </row>
    <row r="1079" spans="1:9" ht="13.5" thickBot="1" x14ac:dyDescent="0.25">
      <c r="A1079" s="1108">
        <v>703.09</v>
      </c>
      <c r="B1079" s="1109" t="s">
        <v>2813</v>
      </c>
      <c r="C1079" s="1110" t="s">
        <v>2814</v>
      </c>
      <c r="D1079" s="1106" t="s">
        <v>1046</v>
      </c>
      <c r="E1079" s="1107" t="s">
        <v>1047</v>
      </c>
      <c r="H1079">
        <v>1</v>
      </c>
      <c r="I1079" t="s">
        <v>1046</v>
      </c>
    </row>
    <row r="1080" spans="1:9" ht="13.5" thickBot="1" x14ac:dyDescent="0.25">
      <c r="A1080" s="1108">
        <v>703.1</v>
      </c>
      <c r="B1080" s="1109" t="s">
        <v>2815</v>
      </c>
      <c r="C1080" s="1110" t="s">
        <v>2816</v>
      </c>
      <c r="D1080" s="1106" t="s">
        <v>1046</v>
      </c>
      <c r="E1080" s="1107" t="s">
        <v>1047</v>
      </c>
      <c r="H1080">
        <v>1</v>
      </c>
      <c r="I1080" t="s">
        <v>1046</v>
      </c>
    </row>
    <row r="1081" spans="1:9" ht="13.5" thickBot="1" x14ac:dyDescent="0.25">
      <c r="A1081" s="1108">
        <v>703.11</v>
      </c>
      <c r="B1081" s="1109" t="s">
        <v>2817</v>
      </c>
      <c r="C1081" s="1110" t="s">
        <v>2818</v>
      </c>
      <c r="D1081" s="1106" t="s">
        <v>1046</v>
      </c>
      <c r="E1081" s="1107" t="s">
        <v>1047</v>
      </c>
      <c r="H1081">
        <v>1</v>
      </c>
      <c r="I1081" t="s">
        <v>1046</v>
      </c>
    </row>
    <row r="1082" spans="1:9" ht="13.5" thickBot="1" x14ac:dyDescent="0.25">
      <c r="A1082" s="1108">
        <v>703.12</v>
      </c>
      <c r="B1082" s="1109" t="s">
        <v>2819</v>
      </c>
      <c r="C1082" s="1110" t="s">
        <v>2820</v>
      </c>
      <c r="D1082" s="1106" t="s">
        <v>1046</v>
      </c>
      <c r="E1082" s="1107" t="s">
        <v>1047</v>
      </c>
      <c r="H1082">
        <v>1</v>
      </c>
      <c r="I1082" t="s">
        <v>1046</v>
      </c>
    </row>
    <row r="1083" spans="1:9" ht="13.5" thickBot="1" x14ac:dyDescent="0.25">
      <c r="A1083" s="1108">
        <v>703.13</v>
      </c>
      <c r="B1083" s="1109" t="s">
        <v>2821</v>
      </c>
      <c r="C1083" s="1110" t="s">
        <v>2822</v>
      </c>
      <c r="D1083" s="1106" t="s">
        <v>1046</v>
      </c>
      <c r="E1083" s="1107" t="s">
        <v>1047</v>
      </c>
      <c r="H1083">
        <v>1</v>
      </c>
      <c r="I1083" t="s">
        <v>1046</v>
      </c>
    </row>
    <row r="1084" spans="1:9" ht="13.5" thickBot="1" x14ac:dyDescent="0.25">
      <c r="A1084" s="1108">
        <v>703.14</v>
      </c>
      <c r="B1084" s="1109" t="s">
        <v>2823</v>
      </c>
      <c r="C1084" s="1110" t="s">
        <v>2824</v>
      </c>
      <c r="D1084" s="1106" t="s">
        <v>1046</v>
      </c>
      <c r="E1084" s="1107" t="s">
        <v>1047</v>
      </c>
      <c r="H1084">
        <v>1</v>
      </c>
      <c r="I1084" t="s">
        <v>1046</v>
      </c>
    </row>
    <row r="1085" spans="1:9" ht="13.5" thickBot="1" x14ac:dyDescent="0.25">
      <c r="A1085" s="1108">
        <v>703.15</v>
      </c>
      <c r="B1085" s="1109" t="s">
        <v>2825</v>
      </c>
      <c r="C1085" s="1110" t="s">
        <v>2826</v>
      </c>
      <c r="D1085" s="1106" t="s">
        <v>1046</v>
      </c>
      <c r="E1085" s="1107" t="s">
        <v>1047</v>
      </c>
      <c r="H1085">
        <v>1</v>
      </c>
      <c r="I1085" t="s">
        <v>1046</v>
      </c>
    </row>
    <row r="1086" spans="1:9" ht="13.5" thickBot="1" x14ac:dyDescent="0.25">
      <c r="A1086" s="1108">
        <v>703.16</v>
      </c>
      <c r="B1086" s="1109" t="s">
        <v>2827</v>
      </c>
      <c r="C1086" s="1110" t="s">
        <v>2828</v>
      </c>
      <c r="D1086" s="1106" t="s">
        <v>1046</v>
      </c>
      <c r="E1086" s="1107" t="s">
        <v>1047</v>
      </c>
      <c r="H1086">
        <v>1</v>
      </c>
      <c r="I1086" t="s">
        <v>1046</v>
      </c>
    </row>
    <row r="1087" spans="1:9" ht="13.5" thickBot="1" x14ac:dyDescent="0.25">
      <c r="A1087" s="1108">
        <v>703.17</v>
      </c>
      <c r="B1087" s="1109" t="s">
        <v>2829</v>
      </c>
      <c r="C1087" s="1110" t="s">
        <v>2830</v>
      </c>
      <c r="D1087" s="1106" t="s">
        <v>1046</v>
      </c>
      <c r="E1087" s="1107" t="s">
        <v>1047</v>
      </c>
      <c r="H1087">
        <v>1</v>
      </c>
      <c r="I1087" t="s">
        <v>1046</v>
      </c>
    </row>
    <row r="1088" spans="1:9" ht="13.5" thickBot="1" x14ac:dyDescent="0.25">
      <c r="A1088" s="1108">
        <v>703.18</v>
      </c>
      <c r="B1088" s="1109" t="s">
        <v>2831</v>
      </c>
      <c r="C1088" s="1110" t="s">
        <v>2832</v>
      </c>
      <c r="D1088" s="1106" t="s">
        <v>1046</v>
      </c>
      <c r="E1088" s="1107" t="s">
        <v>1047</v>
      </c>
      <c r="H1088">
        <v>1</v>
      </c>
      <c r="I1088" t="s">
        <v>1046</v>
      </c>
    </row>
    <row r="1089" spans="1:9" ht="13.5" thickBot="1" x14ac:dyDescent="0.25">
      <c r="A1089" s="1108">
        <v>703.19</v>
      </c>
      <c r="B1089" s="1109" t="s">
        <v>2833</v>
      </c>
      <c r="C1089" s="1110" t="s">
        <v>2834</v>
      </c>
      <c r="D1089" s="1106" t="s">
        <v>1046</v>
      </c>
      <c r="E1089" s="1107" t="s">
        <v>1047</v>
      </c>
      <c r="H1089">
        <v>1</v>
      </c>
      <c r="I1089" t="s">
        <v>1046</v>
      </c>
    </row>
    <row r="1090" spans="1:9" ht="13.5" thickBot="1" x14ac:dyDescent="0.25">
      <c r="A1090" s="1108">
        <v>703.2</v>
      </c>
      <c r="B1090" s="1109" t="s">
        <v>2835</v>
      </c>
      <c r="C1090" s="1110" t="s">
        <v>2836</v>
      </c>
      <c r="D1090" s="1106" t="s">
        <v>1046</v>
      </c>
      <c r="E1090" s="1107" t="s">
        <v>1047</v>
      </c>
      <c r="H1090">
        <v>1</v>
      </c>
      <c r="I1090" t="s">
        <v>1046</v>
      </c>
    </row>
    <row r="1091" spans="1:9" ht="13.5" thickBot="1" x14ac:dyDescent="0.25">
      <c r="A1091" s="1108">
        <v>703.21</v>
      </c>
      <c r="B1091" s="1109" t="s">
        <v>2837</v>
      </c>
      <c r="C1091" s="1110" t="s">
        <v>410</v>
      </c>
      <c r="D1091" s="1106" t="s">
        <v>1046</v>
      </c>
      <c r="E1091" s="1107" t="s">
        <v>1047</v>
      </c>
      <c r="H1091">
        <v>1</v>
      </c>
      <c r="I1091" t="s">
        <v>1046</v>
      </c>
    </row>
    <row r="1092" spans="1:9" ht="13.5" thickBot="1" x14ac:dyDescent="0.25">
      <c r="A1092" s="1108">
        <v>607.01</v>
      </c>
      <c r="B1092" s="1109" t="s">
        <v>2838</v>
      </c>
      <c r="C1092" s="1110" t="s">
        <v>414</v>
      </c>
      <c r="D1092" s="1106" t="s">
        <v>1046</v>
      </c>
      <c r="E1092" s="1107" t="s">
        <v>1047</v>
      </c>
      <c r="H1092">
        <v>1</v>
      </c>
      <c r="I1092" t="s">
        <v>1046</v>
      </c>
    </row>
    <row r="1093" spans="1:9" ht="13.5" thickBot="1" x14ac:dyDescent="0.25">
      <c r="A1093" s="1108">
        <v>610.01</v>
      </c>
      <c r="B1093" s="1109" t="s">
        <v>2839</v>
      </c>
      <c r="C1093" s="1110" t="s">
        <v>415</v>
      </c>
      <c r="D1093" s="1106" t="s">
        <v>1046</v>
      </c>
      <c r="E1093" s="1107" t="s">
        <v>1047</v>
      </c>
      <c r="H1093">
        <v>1</v>
      </c>
      <c r="I1093" t="s">
        <v>1046</v>
      </c>
    </row>
    <row r="1094" spans="1:9" ht="13.5" thickBot="1" x14ac:dyDescent="0.25">
      <c r="A1094" s="1108">
        <v>505.01</v>
      </c>
      <c r="B1094" s="1109" t="s">
        <v>2840</v>
      </c>
      <c r="C1094" s="1135" t="s">
        <v>2841</v>
      </c>
      <c r="D1094" s="1106" t="s">
        <v>1046</v>
      </c>
      <c r="E1094" s="1107" t="s">
        <v>1047</v>
      </c>
      <c r="H1094">
        <v>1</v>
      </c>
      <c r="I1094" t="s">
        <v>1046</v>
      </c>
    </row>
    <row r="1095" spans="1:9" ht="13.5" thickBot="1" x14ac:dyDescent="0.25">
      <c r="A1095" s="1108">
        <v>505.01</v>
      </c>
      <c r="B1095" s="1109" t="s">
        <v>2842</v>
      </c>
      <c r="C1095" s="1135" t="s">
        <v>2843</v>
      </c>
      <c r="D1095" s="1106" t="s">
        <v>1046</v>
      </c>
      <c r="E1095" s="1107" t="s">
        <v>1047</v>
      </c>
      <c r="H1095">
        <v>1</v>
      </c>
      <c r="I1095" t="s">
        <v>1046</v>
      </c>
    </row>
    <row r="1096" spans="1:9" ht="13.5" thickBot="1" x14ac:dyDescent="0.25">
      <c r="A1096" s="1160">
        <v>704</v>
      </c>
      <c r="B1096" s="1104" t="s">
        <v>2844</v>
      </c>
      <c r="C1096" s="1161" t="s">
        <v>2845</v>
      </c>
      <c r="D1096" s="1106"/>
      <c r="E1096" s="1107" t="s">
        <v>1210</v>
      </c>
      <c r="I1096"/>
    </row>
    <row r="1097" spans="1:9" ht="13.5" thickBot="1" x14ac:dyDescent="0.25">
      <c r="A1097" s="1108">
        <v>704.01</v>
      </c>
      <c r="B1097" s="1131" t="s">
        <v>2846</v>
      </c>
      <c r="C1097" s="1110" t="s">
        <v>2847</v>
      </c>
      <c r="D1097" s="1106" t="s">
        <v>1046</v>
      </c>
      <c r="E1097" s="1107" t="s">
        <v>1210</v>
      </c>
      <c r="H1097">
        <v>1</v>
      </c>
      <c r="I1097" t="s">
        <v>1046</v>
      </c>
    </row>
    <row r="1098" spans="1:9" ht="13.5" thickBot="1" x14ac:dyDescent="0.25">
      <c r="A1098" s="1108">
        <v>704.02</v>
      </c>
      <c r="B1098" s="1131" t="s">
        <v>2848</v>
      </c>
      <c r="C1098" s="1110" t="s">
        <v>2849</v>
      </c>
      <c r="D1098" s="1106" t="s">
        <v>1046</v>
      </c>
      <c r="E1098" s="1107" t="s">
        <v>1210</v>
      </c>
      <c r="H1098">
        <v>1</v>
      </c>
      <c r="I1098" t="s">
        <v>1046</v>
      </c>
    </row>
    <row r="1099" spans="1:9" ht="13.5" thickBot="1" x14ac:dyDescent="0.25">
      <c r="A1099" s="1108">
        <v>704.03</v>
      </c>
      <c r="B1099" s="1131" t="s">
        <v>2850</v>
      </c>
      <c r="C1099" s="1110" t="s">
        <v>2851</v>
      </c>
      <c r="D1099" s="1106" t="s">
        <v>1046</v>
      </c>
      <c r="E1099" s="1107" t="s">
        <v>1210</v>
      </c>
      <c r="H1099">
        <v>1</v>
      </c>
      <c r="I1099" t="s">
        <v>1046</v>
      </c>
    </row>
    <row r="1100" spans="1:9" ht="13.5" thickBot="1" x14ac:dyDescent="0.25">
      <c r="A1100" s="1108">
        <v>704.04</v>
      </c>
      <c r="B1100" s="1131" t="s">
        <v>2852</v>
      </c>
      <c r="C1100" s="1110" t="s">
        <v>2853</v>
      </c>
      <c r="D1100" s="1106" t="s">
        <v>1046</v>
      </c>
      <c r="E1100" s="1107" t="s">
        <v>1210</v>
      </c>
      <c r="H1100">
        <v>1</v>
      </c>
      <c r="I1100" t="s">
        <v>1046</v>
      </c>
    </row>
    <row r="1101" spans="1:9" ht="13.5" thickBot="1" x14ac:dyDescent="0.25">
      <c r="A1101" s="1108">
        <v>704.05</v>
      </c>
      <c r="B1101" s="1131" t="s">
        <v>2854</v>
      </c>
      <c r="C1101" s="1110" t="s">
        <v>2855</v>
      </c>
      <c r="D1101" s="1106" t="s">
        <v>1046</v>
      </c>
      <c r="E1101" s="1107" t="s">
        <v>1210</v>
      </c>
      <c r="H1101">
        <v>1</v>
      </c>
      <c r="I1101" t="s">
        <v>1046</v>
      </c>
    </row>
    <row r="1102" spans="1:9" ht="13.5" thickBot="1" x14ac:dyDescent="0.25">
      <c r="A1102" s="1108">
        <v>704.06</v>
      </c>
      <c r="B1102" s="1109" t="s">
        <v>2856</v>
      </c>
      <c r="C1102" s="1110" t="s">
        <v>2857</v>
      </c>
      <c r="D1102" s="1106" t="s">
        <v>1046</v>
      </c>
      <c r="E1102" s="1107" t="s">
        <v>1210</v>
      </c>
      <c r="H1102">
        <v>1</v>
      </c>
      <c r="I1102" t="s">
        <v>1046</v>
      </c>
    </row>
    <row r="1103" spans="1:9" ht="13.5" thickBot="1" x14ac:dyDescent="0.25">
      <c r="A1103" s="1108">
        <v>704.07</v>
      </c>
      <c r="B1103" s="1109" t="s">
        <v>2858</v>
      </c>
      <c r="C1103" s="1110" t="s">
        <v>2859</v>
      </c>
      <c r="D1103" s="1106" t="s">
        <v>1046</v>
      </c>
      <c r="E1103" s="1107" t="s">
        <v>1210</v>
      </c>
      <c r="H1103">
        <v>1</v>
      </c>
      <c r="I1103" t="s">
        <v>1046</v>
      </c>
    </row>
    <row r="1104" spans="1:9" ht="13.5" thickBot="1" x14ac:dyDescent="0.25">
      <c r="A1104" s="1108">
        <v>704.08</v>
      </c>
      <c r="B1104" s="1109" t="s">
        <v>2860</v>
      </c>
      <c r="C1104" s="1110" t="s">
        <v>2861</v>
      </c>
      <c r="D1104" s="1106" t="s">
        <v>1046</v>
      </c>
      <c r="E1104" s="1107" t="s">
        <v>1210</v>
      </c>
      <c r="H1104">
        <v>1</v>
      </c>
      <c r="I1104" t="s">
        <v>1046</v>
      </c>
    </row>
    <row r="1105" spans="1:9" ht="13.5" thickBot="1" x14ac:dyDescent="0.25">
      <c r="A1105" s="1108">
        <v>704.09</v>
      </c>
      <c r="B1105" s="1109" t="s">
        <v>2862</v>
      </c>
      <c r="C1105" s="1110" t="s">
        <v>2863</v>
      </c>
      <c r="D1105" s="1106" t="s">
        <v>1046</v>
      </c>
      <c r="E1105" s="1107" t="s">
        <v>1210</v>
      </c>
      <c r="H1105">
        <v>1</v>
      </c>
      <c r="I1105" t="s">
        <v>1046</v>
      </c>
    </row>
    <row r="1106" spans="1:9" ht="13.5" thickBot="1" x14ac:dyDescent="0.25">
      <c r="A1106" s="1108">
        <v>704.1</v>
      </c>
      <c r="B1106" s="1109" t="s">
        <v>2864</v>
      </c>
      <c r="C1106" s="1110" t="s">
        <v>2865</v>
      </c>
      <c r="D1106" s="1106" t="s">
        <v>1046</v>
      </c>
      <c r="E1106" s="1107" t="s">
        <v>1210</v>
      </c>
      <c r="H1106">
        <v>1</v>
      </c>
      <c r="I1106" t="s">
        <v>1046</v>
      </c>
    </row>
    <row r="1107" spans="1:9" ht="13.5" thickBot="1" x14ac:dyDescent="0.25">
      <c r="A1107" s="1108">
        <v>704.11</v>
      </c>
      <c r="B1107" s="1109" t="s">
        <v>2866</v>
      </c>
      <c r="C1107" s="1110" t="s">
        <v>2867</v>
      </c>
      <c r="D1107" s="1106" t="s">
        <v>1046</v>
      </c>
      <c r="E1107" s="1107" t="s">
        <v>1210</v>
      </c>
      <c r="H1107">
        <v>1</v>
      </c>
      <c r="I1107" t="s">
        <v>1046</v>
      </c>
    </row>
    <row r="1108" spans="1:9" ht="13.5" thickBot="1" x14ac:dyDescent="0.25">
      <c r="A1108" s="1108">
        <v>704.12</v>
      </c>
      <c r="B1108" s="1109" t="s">
        <v>2868</v>
      </c>
      <c r="C1108" s="1110" t="s">
        <v>2869</v>
      </c>
      <c r="D1108" s="1106" t="s">
        <v>1046</v>
      </c>
      <c r="E1108" s="1107" t="s">
        <v>1210</v>
      </c>
      <c r="H1108">
        <v>1</v>
      </c>
      <c r="I1108" t="s">
        <v>1046</v>
      </c>
    </row>
    <row r="1109" spans="1:9" ht="13.5" thickBot="1" x14ac:dyDescent="0.25">
      <c r="A1109" s="1108">
        <v>704.13</v>
      </c>
      <c r="B1109" s="1109" t="s">
        <v>2870</v>
      </c>
      <c r="C1109" s="1110" t="s">
        <v>2871</v>
      </c>
      <c r="D1109" s="1106" t="s">
        <v>1046</v>
      </c>
      <c r="E1109" s="1107" t="s">
        <v>1210</v>
      </c>
      <c r="H1109">
        <v>1</v>
      </c>
      <c r="I1109" t="s">
        <v>1046</v>
      </c>
    </row>
    <row r="1110" spans="1:9" ht="13.5" thickBot="1" x14ac:dyDescent="0.25">
      <c r="A1110" s="1108">
        <v>704.14</v>
      </c>
      <c r="B1110" s="1109" t="s">
        <v>2872</v>
      </c>
      <c r="C1110" s="1110" t="s">
        <v>2873</v>
      </c>
      <c r="D1110" s="1106" t="s">
        <v>1046</v>
      </c>
      <c r="E1110" s="1107" t="s">
        <v>1210</v>
      </c>
      <c r="H1110">
        <v>1</v>
      </c>
      <c r="I1110" t="s">
        <v>1046</v>
      </c>
    </row>
    <row r="1111" spans="1:9" ht="13.5" thickBot="1" x14ac:dyDescent="0.25">
      <c r="A1111" s="1108">
        <v>704.15</v>
      </c>
      <c r="B1111" s="1109" t="s">
        <v>2874</v>
      </c>
      <c r="C1111" s="1110" t="s">
        <v>2875</v>
      </c>
      <c r="D1111" s="1106" t="s">
        <v>1046</v>
      </c>
      <c r="E1111" s="1107" t="s">
        <v>1210</v>
      </c>
      <c r="H1111">
        <v>1</v>
      </c>
      <c r="I1111" t="s">
        <v>1046</v>
      </c>
    </row>
    <row r="1112" spans="1:9" ht="13.5" thickBot="1" x14ac:dyDescent="0.25">
      <c r="A1112" s="1108">
        <v>704.16</v>
      </c>
      <c r="B1112" s="1109" t="s">
        <v>2876</v>
      </c>
      <c r="C1112" s="1110" t="s">
        <v>2877</v>
      </c>
      <c r="D1112" s="1106" t="s">
        <v>1046</v>
      </c>
      <c r="E1112" s="1107" t="s">
        <v>1210</v>
      </c>
      <c r="H1112">
        <v>1</v>
      </c>
      <c r="I1112" t="s">
        <v>1046</v>
      </c>
    </row>
    <row r="1113" spans="1:9" ht="13.5" thickBot="1" x14ac:dyDescent="0.25">
      <c r="A1113" s="1108">
        <v>704.17</v>
      </c>
      <c r="B1113" s="1109" t="s">
        <v>2878</v>
      </c>
      <c r="C1113" s="1110" t="s">
        <v>2879</v>
      </c>
      <c r="D1113" s="1106" t="s">
        <v>1046</v>
      </c>
      <c r="E1113" s="1107" t="s">
        <v>1210</v>
      </c>
      <c r="H1113">
        <v>1</v>
      </c>
      <c r="I1113" t="s">
        <v>1046</v>
      </c>
    </row>
    <row r="1114" spans="1:9" ht="13.5" thickBot="1" x14ac:dyDescent="0.25">
      <c r="A1114" s="1108">
        <v>704.18</v>
      </c>
      <c r="B1114" s="1109" t="s">
        <v>2880</v>
      </c>
      <c r="C1114" s="1110" t="s">
        <v>2881</v>
      </c>
      <c r="D1114" s="1106" t="s">
        <v>1046</v>
      </c>
      <c r="E1114" s="1107" t="s">
        <v>1210</v>
      </c>
      <c r="H1114">
        <v>1</v>
      </c>
      <c r="I1114" t="s">
        <v>1046</v>
      </c>
    </row>
    <row r="1115" spans="1:9" ht="13.5" thickBot="1" x14ac:dyDescent="0.25">
      <c r="A1115" s="1108">
        <v>704.19</v>
      </c>
      <c r="B1115" s="1109" t="s">
        <v>2882</v>
      </c>
      <c r="C1115" s="1110" t="s">
        <v>2883</v>
      </c>
      <c r="D1115" s="1106" t="s">
        <v>1046</v>
      </c>
      <c r="E1115" s="1107" t="s">
        <v>1210</v>
      </c>
      <c r="H1115">
        <v>1</v>
      </c>
      <c r="I1115" t="s">
        <v>1046</v>
      </c>
    </row>
    <row r="1116" spans="1:9" ht="13.5" thickBot="1" x14ac:dyDescent="0.25">
      <c r="A1116" s="1108">
        <v>704.2</v>
      </c>
      <c r="B1116" s="1109" t="s">
        <v>2884</v>
      </c>
      <c r="C1116" s="1110" t="s">
        <v>2885</v>
      </c>
      <c r="D1116" s="1106" t="s">
        <v>1046</v>
      </c>
      <c r="E1116" s="1107" t="s">
        <v>1210</v>
      </c>
      <c r="H1116">
        <v>1</v>
      </c>
      <c r="I1116" t="s">
        <v>1046</v>
      </c>
    </row>
    <row r="1117" spans="1:9" ht="13.5" thickBot="1" x14ac:dyDescent="0.25">
      <c r="A1117" s="1108">
        <v>704.21</v>
      </c>
      <c r="B1117" s="1109" t="s">
        <v>2886</v>
      </c>
      <c r="C1117" s="1110" t="s">
        <v>2887</v>
      </c>
      <c r="D1117" s="1106" t="s">
        <v>1046</v>
      </c>
      <c r="E1117" s="1107" t="s">
        <v>1210</v>
      </c>
      <c r="H1117">
        <v>1</v>
      </c>
      <c r="I1117" t="s">
        <v>1046</v>
      </c>
    </row>
    <row r="1118" spans="1:9" ht="13.5" thickBot="1" x14ac:dyDescent="0.25">
      <c r="A1118" s="1108">
        <v>704.22</v>
      </c>
      <c r="B1118" s="1109" t="s">
        <v>2888</v>
      </c>
      <c r="C1118" s="1110" t="s">
        <v>2167</v>
      </c>
      <c r="D1118" s="1106" t="s">
        <v>1046</v>
      </c>
      <c r="E1118" s="1107" t="s">
        <v>1210</v>
      </c>
      <c r="H1118">
        <v>1</v>
      </c>
      <c r="I1118" t="s">
        <v>1046</v>
      </c>
    </row>
    <row r="1119" spans="1:9" ht="13.5" thickBot="1" x14ac:dyDescent="0.25">
      <c r="A1119" s="1108">
        <v>704.23</v>
      </c>
      <c r="B1119" s="1109" t="s">
        <v>2889</v>
      </c>
      <c r="C1119" s="1110" t="s">
        <v>411</v>
      </c>
      <c r="D1119" s="1106" t="s">
        <v>1046</v>
      </c>
      <c r="E1119" s="1107" t="s">
        <v>1210</v>
      </c>
      <c r="H1119">
        <v>1</v>
      </c>
      <c r="I1119" t="s">
        <v>1046</v>
      </c>
    </row>
    <row r="1120" spans="1:9" ht="13.5" thickBot="1" x14ac:dyDescent="0.25">
      <c r="A1120" s="1108">
        <v>704.23</v>
      </c>
      <c r="B1120" s="1109" t="s">
        <v>2890</v>
      </c>
      <c r="C1120" s="1110" t="s">
        <v>2891</v>
      </c>
      <c r="D1120" s="1106" t="s">
        <v>1046</v>
      </c>
      <c r="E1120" s="1107" t="s">
        <v>1210</v>
      </c>
      <c r="H1120">
        <v>1</v>
      </c>
      <c r="I1120" t="s">
        <v>1046</v>
      </c>
    </row>
    <row r="1121" spans="1:9" s="1163" customFormat="1" ht="13.5" thickBot="1" x14ac:dyDescent="0.25">
      <c r="A1121" s="1162">
        <v>608</v>
      </c>
      <c r="B1121" s="1104" t="s">
        <v>2892</v>
      </c>
      <c r="C1121" s="1161" t="s">
        <v>2893</v>
      </c>
      <c r="D1121" s="1106"/>
      <c r="E1121" s="1107" t="s">
        <v>1210</v>
      </c>
      <c r="F1121" s="1099"/>
    </row>
    <row r="1122" spans="1:9" ht="13.5" thickBot="1" x14ac:dyDescent="0.25">
      <c r="A1122" s="1108">
        <v>608.01</v>
      </c>
      <c r="B1122" s="1109" t="s">
        <v>2894</v>
      </c>
      <c r="C1122" s="1110" t="s">
        <v>2895</v>
      </c>
      <c r="D1122" s="1106" t="s">
        <v>1046</v>
      </c>
      <c r="E1122" s="1107" t="s">
        <v>1210</v>
      </c>
      <c r="H1122">
        <v>1</v>
      </c>
      <c r="I1122" t="s">
        <v>1046</v>
      </c>
    </row>
    <row r="1123" spans="1:9" ht="13.5" thickBot="1" x14ac:dyDescent="0.25">
      <c r="A1123" s="1108">
        <v>609.01</v>
      </c>
      <c r="B1123" s="1131" t="s">
        <v>2896</v>
      </c>
      <c r="C1123" s="1110" t="s">
        <v>2897</v>
      </c>
      <c r="D1123" s="1106" t="s">
        <v>1046</v>
      </c>
      <c r="E1123" s="1107" t="s">
        <v>1210</v>
      </c>
      <c r="H1123">
        <v>1</v>
      </c>
      <c r="I1123" t="s">
        <v>1046</v>
      </c>
    </row>
    <row r="1124" spans="1:9" ht="13.5" thickBot="1" x14ac:dyDescent="0.25">
      <c r="A1124" s="1162">
        <v>611</v>
      </c>
      <c r="B1124" s="1104" t="s">
        <v>2898</v>
      </c>
      <c r="C1124" s="1161" t="s">
        <v>820</v>
      </c>
      <c r="D1124" s="1106"/>
      <c r="E1124" s="1107" t="s">
        <v>1210</v>
      </c>
      <c r="I1124"/>
    </row>
    <row r="1125" spans="1:9" ht="13.5" thickBot="1" x14ac:dyDescent="0.25">
      <c r="A1125" s="1108">
        <v>611.01</v>
      </c>
      <c r="B1125" s="1109" t="s">
        <v>2899</v>
      </c>
      <c r="C1125" s="1110" t="s">
        <v>2900</v>
      </c>
      <c r="D1125" s="1106" t="s">
        <v>1046</v>
      </c>
      <c r="E1125" s="1107" t="s">
        <v>1047</v>
      </c>
      <c r="H1125">
        <v>1</v>
      </c>
      <c r="I1125" t="s">
        <v>1046</v>
      </c>
    </row>
    <row r="1126" spans="1:9" ht="13.5" thickBot="1" x14ac:dyDescent="0.25">
      <c r="A1126" s="1108">
        <v>611.02</v>
      </c>
      <c r="B1126" s="1109" t="s">
        <v>2901</v>
      </c>
      <c r="C1126" s="1110" t="s">
        <v>2902</v>
      </c>
      <c r="D1126" s="1106" t="s">
        <v>1046</v>
      </c>
      <c r="E1126" s="1107" t="s">
        <v>1047</v>
      </c>
      <c r="H1126">
        <v>1</v>
      </c>
      <c r="I1126" t="s">
        <v>1046</v>
      </c>
    </row>
    <row r="1127" spans="1:9" ht="13.5" thickBot="1" x14ac:dyDescent="0.25">
      <c r="A1127" s="1108">
        <v>611.02</v>
      </c>
      <c r="B1127" s="1109" t="s">
        <v>2903</v>
      </c>
      <c r="C1127" s="1110" t="s">
        <v>2904</v>
      </c>
      <c r="D1127" s="1106" t="s">
        <v>1046</v>
      </c>
      <c r="E1127" s="1107" t="s">
        <v>1047</v>
      </c>
      <c r="H1127">
        <v>1</v>
      </c>
      <c r="I1127" t="s">
        <v>1046</v>
      </c>
    </row>
    <row r="1128" spans="1:9" ht="13.5" thickBot="1" x14ac:dyDescent="0.25">
      <c r="A1128" s="1108">
        <v>611.01</v>
      </c>
      <c r="B1128" s="1109" t="s">
        <v>2905</v>
      </c>
      <c r="C1128" s="1110" t="s">
        <v>2906</v>
      </c>
      <c r="D1128" s="1106" t="s">
        <v>1046</v>
      </c>
      <c r="E1128" s="1107" t="s">
        <v>1047</v>
      </c>
      <c r="H1128">
        <v>1</v>
      </c>
      <c r="I1128" t="s">
        <v>1046</v>
      </c>
    </row>
    <row r="1129" spans="1:9" s="1169" customFormat="1" ht="13.5" thickBot="1" x14ac:dyDescent="0.25">
      <c r="A1129" s="1164">
        <v>611.02</v>
      </c>
      <c r="B1129" s="1165" t="s">
        <v>2907</v>
      </c>
      <c r="C1129" s="1110" t="s">
        <v>2908</v>
      </c>
      <c r="D1129" s="1166" t="s">
        <v>1046</v>
      </c>
      <c r="E1129" s="1167" t="s">
        <v>1047</v>
      </c>
      <c r="F1129" s="1168"/>
      <c r="H1129" s="1169">
        <v>1</v>
      </c>
      <c r="I1129" s="1169" t="s">
        <v>1046</v>
      </c>
    </row>
    <row r="1130" spans="1:9" s="1176" customFormat="1" ht="13.5" thickBot="1" x14ac:dyDescent="0.25">
      <c r="A1130" s="1170"/>
      <c r="B1130" s="1171"/>
      <c r="C1130" s="1172" t="s">
        <v>2909</v>
      </c>
      <c r="D1130" s="1173"/>
      <c r="E1130" s="1174"/>
      <c r="F1130" s="1175"/>
    </row>
    <row r="1131" spans="1:9" ht="13.5" thickBot="1" x14ac:dyDescent="0.25">
      <c r="A1131" s="1177">
        <v>800</v>
      </c>
      <c r="B1131" s="1147" t="s">
        <v>2910</v>
      </c>
      <c r="C1131" s="1159" t="s">
        <v>2911</v>
      </c>
      <c r="D1131" s="1129"/>
      <c r="E1131" s="1130" t="s">
        <v>1047</v>
      </c>
      <c r="I1131"/>
    </row>
    <row r="1132" spans="1:9" ht="13.5" thickBot="1" x14ac:dyDescent="0.25">
      <c r="A1132" s="1108">
        <v>801.01</v>
      </c>
      <c r="B1132" s="1109" t="s">
        <v>2912</v>
      </c>
      <c r="C1132" s="1110" t="s">
        <v>2911</v>
      </c>
      <c r="D1132" s="1106" t="s">
        <v>1046</v>
      </c>
      <c r="E1132" s="1107" t="s">
        <v>1047</v>
      </c>
      <c r="H1132">
        <v>1</v>
      </c>
      <c r="I1132" t="s">
        <v>1046</v>
      </c>
    </row>
    <row r="1133" spans="1:9" ht="13.5" thickBot="1" x14ac:dyDescent="0.25">
      <c r="A1133" s="1108">
        <v>801.02</v>
      </c>
      <c r="B1133" s="1109" t="s">
        <v>2913</v>
      </c>
      <c r="C1133" s="1110" t="s">
        <v>2914</v>
      </c>
      <c r="D1133" s="1106" t="s">
        <v>1046</v>
      </c>
      <c r="E1133" s="1107" t="s">
        <v>1210</v>
      </c>
      <c r="H1133">
        <v>1</v>
      </c>
      <c r="I1133" t="s">
        <v>1046</v>
      </c>
    </row>
    <row r="1134" spans="1:9" ht="13.5" thickBot="1" x14ac:dyDescent="0.25">
      <c r="A1134" s="1162">
        <v>802</v>
      </c>
      <c r="B1134" s="1104" t="s">
        <v>2915</v>
      </c>
      <c r="C1134" s="1159" t="s">
        <v>155</v>
      </c>
      <c r="D1134" s="1106"/>
      <c r="E1134" s="1107" t="s">
        <v>1047</v>
      </c>
      <c r="I1134"/>
    </row>
    <row r="1135" spans="1:9" ht="13.5" thickBot="1" x14ac:dyDescent="0.25">
      <c r="A1135" s="1108">
        <v>802.01</v>
      </c>
      <c r="B1135" s="1109" t="s">
        <v>2916</v>
      </c>
      <c r="C1135" s="1110" t="s">
        <v>155</v>
      </c>
      <c r="D1135" s="1106" t="s">
        <v>1046</v>
      </c>
      <c r="E1135" s="1107" t="s">
        <v>1047</v>
      </c>
      <c r="H1135">
        <v>1</v>
      </c>
      <c r="I1135" t="s">
        <v>1046</v>
      </c>
    </row>
    <row r="1136" spans="1:9" ht="13.5" thickBot="1" x14ac:dyDescent="0.25">
      <c r="A1136" s="1108">
        <v>802.02</v>
      </c>
      <c r="B1136" s="1109" t="s">
        <v>2917</v>
      </c>
      <c r="C1136" s="1110" t="s">
        <v>2918</v>
      </c>
      <c r="D1136" s="1106" t="s">
        <v>1046</v>
      </c>
      <c r="E1136" s="1107" t="s">
        <v>1210</v>
      </c>
      <c r="H1136">
        <v>1</v>
      </c>
      <c r="I1136" t="s">
        <v>1046</v>
      </c>
    </row>
    <row r="1137" spans="1:9" ht="13.5" thickBot="1" x14ac:dyDescent="0.25">
      <c r="A1137" s="1162">
        <v>803</v>
      </c>
      <c r="B1137" s="1104" t="s">
        <v>2919</v>
      </c>
      <c r="C1137" s="1159" t="s">
        <v>2920</v>
      </c>
      <c r="D1137" s="1106"/>
      <c r="E1137" s="1107" t="s">
        <v>1047</v>
      </c>
      <c r="I1137"/>
    </row>
    <row r="1138" spans="1:9" ht="13.5" thickBot="1" x14ac:dyDescent="0.25">
      <c r="A1138" s="1108">
        <v>803.01</v>
      </c>
      <c r="B1138" s="1109" t="s">
        <v>2921</v>
      </c>
      <c r="C1138" s="1110" t="s">
        <v>2922</v>
      </c>
      <c r="D1138" s="1106" t="s">
        <v>1046</v>
      </c>
      <c r="E1138" s="1107" t="s">
        <v>1047</v>
      </c>
      <c r="H1138">
        <v>1</v>
      </c>
      <c r="I1138" t="s">
        <v>1046</v>
      </c>
    </row>
    <row r="1139" spans="1:9" ht="13.5" thickBot="1" x14ac:dyDescent="0.25">
      <c r="A1139" s="1108">
        <v>803.02</v>
      </c>
      <c r="B1139" s="1109" t="s">
        <v>2923</v>
      </c>
      <c r="C1139" s="1110" t="s">
        <v>2924</v>
      </c>
      <c r="D1139" s="1106" t="s">
        <v>1046</v>
      </c>
      <c r="E1139" s="1107" t="s">
        <v>1210</v>
      </c>
      <c r="H1139">
        <v>1</v>
      </c>
      <c r="I1139" t="s">
        <v>1046</v>
      </c>
    </row>
    <row r="1140" spans="1:9" ht="13.5" thickBot="1" x14ac:dyDescent="0.25">
      <c r="A1140" s="1108">
        <v>803.01</v>
      </c>
      <c r="B1140" s="1109" t="s">
        <v>2925</v>
      </c>
      <c r="C1140" s="1110" t="s">
        <v>2926</v>
      </c>
      <c r="D1140" s="1106" t="s">
        <v>1046</v>
      </c>
      <c r="E1140" s="1107" t="s">
        <v>1047</v>
      </c>
      <c r="H1140">
        <v>1</v>
      </c>
      <c r="I1140" t="s">
        <v>1046</v>
      </c>
    </row>
    <row r="1141" spans="1:9" ht="13.5" thickBot="1" x14ac:dyDescent="0.25">
      <c r="A1141" s="1108">
        <v>803.02</v>
      </c>
      <c r="B1141" s="1109" t="s">
        <v>2927</v>
      </c>
      <c r="C1141" s="1110" t="s">
        <v>2928</v>
      </c>
      <c r="D1141" s="1106" t="s">
        <v>1046</v>
      </c>
      <c r="E1141" s="1107" t="s">
        <v>1210</v>
      </c>
      <c r="H1141">
        <v>1</v>
      </c>
      <c r="I1141" t="s">
        <v>1046</v>
      </c>
    </row>
    <row r="1142" spans="1:9" ht="13.5" thickBot="1" x14ac:dyDescent="0.25">
      <c r="A1142" s="1162">
        <v>804</v>
      </c>
      <c r="B1142" s="1104" t="s">
        <v>2929</v>
      </c>
      <c r="C1142" s="1159" t="s">
        <v>2930</v>
      </c>
      <c r="D1142" s="1106"/>
      <c r="E1142" s="1107" t="s">
        <v>1047</v>
      </c>
      <c r="I1142"/>
    </row>
    <row r="1143" spans="1:9" ht="13.5" thickBot="1" x14ac:dyDescent="0.25">
      <c r="A1143" s="1108">
        <v>804.01</v>
      </c>
      <c r="B1143" s="1109" t="s">
        <v>2931</v>
      </c>
      <c r="C1143" s="1110" t="s">
        <v>2930</v>
      </c>
      <c r="D1143" s="1106" t="s">
        <v>1046</v>
      </c>
      <c r="E1143" s="1107" t="s">
        <v>1047</v>
      </c>
      <c r="H1143">
        <v>1</v>
      </c>
      <c r="I1143" t="s">
        <v>1046</v>
      </c>
    </row>
    <row r="1144" spans="1:9" ht="13.5" thickBot="1" x14ac:dyDescent="0.25">
      <c r="A1144" s="1108">
        <v>804.02</v>
      </c>
      <c r="B1144" s="1109" t="s">
        <v>2932</v>
      </c>
      <c r="C1144" s="1110" t="s">
        <v>2933</v>
      </c>
      <c r="D1144" s="1106" t="s">
        <v>1046</v>
      </c>
      <c r="E1144" s="1107" t="s">
        <v>1210</v>
      </c>
      <c r="H1144">
        <v>1</v>
      </c>
      <c r="I1144" t="s">
        <v>1046</v>
      </c>
    </row>
    <row r="1145" spans="1:9" ht="13.5" thickBot="1" x14ac:dyDescent="0.25">
      <c r="A1145" s="1162">
        <v>805</v>
      </c>
      <c r="B1145" s="1104" t="s">
        <v>2934</v>
      </c>
      <c r="C1145" s="1159" t="s">
        <v>2935</v>
      </c>
      <c r="D1145" s="1106"/>
      <c r="E1145" s="1107" t="s">
        <v>1047</v>
      </c>
      <c r="I1145"/>
    </row>
    <row r="1146" spans="1:9" ht="13.5" thickBot="1" x14ac:dyDescent="0.25">
      <c r="A1146" s="1108">
        <v>805.01</v>
      </c>
      <c r="B1146" s="1109" t="s">
        <v>2936</v>
      </c>
      <c r="C1146" s="1110" t="s">
        <v>2935</v>
      </c>
      <c r="D1146" s="1106" t="s">
        <v>1046</v>
      </c>
      <c r="E1146" s="1107" t="s">
        <v>1047</v>
      </c>
      <c r="H1146">
        <v>1</v>
      </c>
      <c r="I1146" t="s">
        <v>1046</v>
      </c>
    </row>
    <row r="1147" spans="1:9" ht="13.5" thickBot="1" x14ac:dyDescent="0.25">
      <c r="A1147" s="1108">
        <v>805.02</v>
      </c>
      <c r="B1147" s="1109" t="s">
        <v>2937</v>
      </c>
      <c r="C1147" s="1110" t="s">
        <v>2938</v>
      </c>
      <c r="D1147" s="1106" t="s">
        <v>1046</v>
      </c>
      <c r="E1147" s="1107" t="s">
        <v>1210</v>
      </c>
      <c r="H1147">
        <v>1</v>
      </c>
      <c r="I1147" t="s">
        <v>1046</v>
      </c>
    </row>
    <row r="1148" spans="1:9" ht="13.5" thickBot="1" x14ac:dyDescent="0.25">
      <c r="A1148" s="1162">
        <v>806</v>
      </c>
      <c r="B1148" s="1104" t="s">
        <v>2939</v>
      </c>
      <c r="C1148" s="1159" t="s">
        <v>2940</v>
      </c>
      <c r="D1148" s="1106"/>
      <c r="E1148" s="1107" t="s">
        <v>1047</v>
      </c>
      <c r="I1148"/>
    </row>
    <row r="1149" spans="1:9" ht="13.5" thickBot="1" x14ac:dyDescent="0.25">
      <c r="A1149" s="1108">
        <v>806.01</v>
      </c>
      <c r="B1149" s="1109" t="s">
        <v>2941</v>
      </c>
      <c r="C1149" s="1110" t="s">
        <v>2940</v>
      </c>
      <c r="D1149" s="1106" t="s">
        <v>1046</v>
      </c>
      <c r="E1149" s="1107" t="s">
        <v>1047</v>
      </c>
      <c r="H1149">
        <v>1</v>
      </c>
      <c r="I1149" t="s">
        <v>1046</v>
      </c>
    </row>
    <row r="1150" spans="1:9" ht="13.5" thickBot="1" x14ac:dyDescent="0.25">
      <c r="A1150" s="1108">
        <v>806.02</v>
      </c>
      <c r="B1150" s="1109" t="s">
        <v>2942</v>
      </c>
      <c r="C1150" s="1110" t="s">
        <v>2943</v>
      </c>
      <c r="D1150" s="1106" t="s">
        <v>1046</v>
      </c>
      <c r="E1150" s="1107" t="s">
        <v>1210</v>
      </c>
      <c r="H1150">
        <v>1</v>
      </c>
      <c r="I1150" t="s">
        <v>1046</v>
      </c>
    </row>
    <row r="1151" spans="1:9" ht="13.5" thickBot="1" x14ac:dyDescent="0.25">
      <c r="A1151" s="1162">
        <v>807</v>
      </c>
      <c r="B1151" s="1104" t="s">
        <v>2944</v>
      </c>
      <c r="C1151" s="1159" t="s">
        <v>2945</v>
      </c>
      <c r="D1151" s="1106"/>
      <c r="E1151" s="1107" t="s">
        <v>1047</v>
      </c>
      <c r="I1151"/>
    </row>
    <row r="1152" spans="1:9" ht="13.5" thickBot="1" x14ac:dyDescent="0.25">
      <c r="A1152" s="1108">
        <v>807.01</v>
      </c>
      <c r="B1152" s="1109" t="s">
        <v>2946</v>
      </c>
      <c r="C1152" s="1110" t="s">
        <v>2945</v>
      </c>
      <c r="D1152" s="1106" t="s">
        <v>1046</v>
      </c>
      <c r="E1152" s="1107" t="s">
        <v>1047</v>
      </c>
      <c r="H1152">
        <v>1</v>
      </c>
      <c r="I1152" t="s">
        <v>1046</v>
      </c>
    </row>
    <row r="1153" spans="1:9" ht="13.5" thickBot="1" x14ac:dyDescent="0.25">
      <c r="A1153" s="1108">
        <v>807.02</v>
      </c>
      <c r="B1153" s="1109" t="s">
        <v>2947</v>
      </c>
      <c r="C1153" s="1110" t="s">
        <v>2948</v>
      </c>
      <c r="D1153" s="1106" t="s">
        <v>1046</v>
      </c>
      <c r="E1153" s="1107" t="s">
        <v>1210</v>
      </c>
      <c r="H1153">
        <v>1</v>
      </c>
      <c r="I1153" t="s">
        <v>1046</v>
      </c>
    </row>
    <row r="1154" spans="1:9" ht="13.5" thickBot="1" x14ac:dyDescent="0.25">
      <c r="A1154" s="1162">
        <v>808</v>
      </c>
      <c r="B1154" s="1104" t="s">
        <v>2949</v>
      </c>
      <c r="C1154" s="1159" t="s">
        <v>2950</v>
      </c>
      <c r="D1154" s="1106"/>
      <c r="E1154" s="1107" t="s">
        <v>1047</v>
      </c>
      <c r="I1154"/>
    </row>
    <row r="1155" spans="1:9" ht="13.5" thickBot="1" x14ac:dyDescent="0.25">
      <c r="A1155" s="1108">
        <v>808.01</v>
      </c>
      <c r="B1155" s="1109" t="s">
        <v>2951</v>
      </c>
      <c r="C1155" s="1110" t="s">
        <v>2950</v>
      </c>
      <c r="D1155" s="1106" t="s">
        <v>1046</v>
      </c>
      <c r="E1155" s="1107" t="s">
        <v>1047</v>
      </c>
      <c r="H1155">
        <v>1</v>
      </c>
      <c r="I1155" t="s">
        <v>1046</v>
      </c>
    </row>
    <row r="1156" spans="1:9" ht="23.25" thickBot="1" x14ac:dyDescent="0.25">
      <c r="A1156" s="1108">
        <v>808.02</v>
      </c>
      <c r="B1156" s="1109" t="s">
        <v>2952</v>
      </c>
      <c r="C1156" s="1110" t="s">
        <v>2953</v>
      </c>
      <c r="D1156" s="1106" t="s">
        <v>1046</v>
      </c>
      <c r="E1156" s="1107" t="s">
        <v>1210</v>
      </c>
      <c r="H1156">
        <v>1</v>
      </c>
      <c r="I1156" t="s">
        <v>1046</v>
      </c>
    </row>
    <row r="1157" spans="1:9" ht="13.5" thickBot="1" x14ac:dyDescent="0.25">
      <c r="A1157" s="1162">
        <v>809</v>
      </c>
      <c r="B1157" s="1104" t="s">
        <v>2954</v>
      </c>
      <c r="C1157" s="1159" t="s">
        <v>2955</v>
      </c>
      <c r="D1157" s="1106"/>
      <c r="E1157" s="1107" t="s">
        <v>1047</v>
      </c>
      <c r="I1157"/>
    </row>
    <row r="1158" spans="1:9" ht="13.5" thickBot="1" x14ac:dyDescent="0.25">
      <c r="A1158" s="1108">
        <v>809.01</v>
      </c>
      <c r="B1158" s="1109" t="s">
        <v>2956</v>
      </c>
      <c r="C1158" s="1110" t="s">
        <v>2955</v>
      </c>
      <c r="D1158" s="1106" t="s">
        <v>1046</v>
      </c>
      <c r="E1158" s="1107" t="s">
        <v>1047</v>
      </c>
      <c r="H1158">
        <v>1</v>
      </c>
      <c r="I1158" t="s">
        <v>1046</v>
      </c>
    </row>
    <row r="1159" spans="1:9" ht="13.5" thickBot="1" x14ac:dyDescent="0.25">
      <c r="A1159" s="1108">
        <v>809.02</v>
      </c>
      <c r="B1159" s="1109" t="s">
        <v>2957</v>
      </c>
      <c r="C1159" s="1110" t="s">
        <v>2958</v>
      </c>
      <c r="D1159" s="1106" t="s">
        <v>1046</v>
      </c>
      <c r="E1159" s="1107" t="s">
        <v>1210</v>
      </c>
      <c r="H1159">
        <v>1</v>
      </c>
      <c r="I1159" t="s">
        <v>1046</v>
      </c>
    </row>
    <row r="1160" spans="1:9" ht="13.5" thickBot="1" x14ac:dyDescent="0.25">
      <c r="A1160" s="1162">
        <v>810</v>
      </c>
      <c r="B1160" s="1104" t="s">
        <v>2959</v>
      </c>
      <c r="C1160" s="1159" t="s">
        <v>2960</v>
      </c>
      <c r="D1160" s="1106"/>
      <c r="E1160" s="1107" t="s">
        <v>1047</v>
      </c>
      <c r="I1160"/>
    </row>
    <row r="1161" spans="1:9" ht="13.5" thickBot="1" x14ac:dyDescent="0.25">
      <c r="A1161" s="1108">
        <v>810.01</v>
      </c>
      <c r="B1161" s="1109" t="s">
        <v>2961</v>
      </c>
      <c r="C1161" s="1110" t="s">
        <v>2962</v>
      </c>
      <c r="D1161" s="1106" t="s">
        <v>1046</v>
      </c>
      <c r="E1161" s="1107" t="s">
        <v>1047</v>
      </c>
      <c r="H1161">
        <v>1</v>
      </c>
      <c r="I1161" t="s">
        <v>1046</v>
      </c>
    </row>
    <row r="1162" spans="1:9" ht="13.5" thickBot="1" x14ac:dyDescent="0.25">
      <c r="A1162" s="1108">
        <v>810.02</v>
      </c>
      <c r="B1162" s="1109" t="s">
        <v>2963</v>
      </c>
      <c r="C1162" s="1110" t="s">
        <v>2964</v>
      </c>
      <c r="D1162" s="1106" t="s">
        <v>1046</v>
      </c>
      <c r="E1162" s="1107" t="s">
        <v>1210</v>
      </c>
      <c r="H1162">
        <v>1</v>
      </c>
      <c r="I1162" t="s">
        <v>1046</v>
      </c>
    </row>
    <row r="1163" spans="1:9" ht="21.75" thickBot="1" x14ac:dyDescent="0.25">
      <c r="A1163" s="1162">
        <v>811</v>
      </c>
      <c r="B1163" s="1104" t="s">
        <v>2965</v>
      </c>
      <c r="C1163" s="1159" t="s">
        <v>2966</v>
      </c>
      <c r="D1163" s="1106"/>
      <c r="E1163" s="1107" t="s">
        <v>1047</v>
      </c>
      <c r="I1163"/>
    </row>
    <row r="1164" spans="1:9" ht="13.5" thickBot="1" x14ac:dyDescent="0.25">
      <c r="A1164" s="1108">
        <v>811.01</v>
      </c>
      <c r="B1164" s="1109" t="s">
        <v>2967</v>
      </c>
      <c r="C1164" s="1110" t="s">
        <v>2966</v>
      </c>
      <c r="D1164" s="1106" t="s">
        <v>1046</v>
      </c>
      <c r="E1164" s="1107" t="s">
        <v>1047</v>
      </c>
      <c r="H1164">
        <v>1</v>
      </c>
      <c r="I1164" t="s">
        <v>1046</v>
      </c>
    </row>
    <row r="1165" spans="1:9" ht="23.25" thickBot="1" x14ac:dyDescent="0.25">
      <c r="A1165" s="1108">
        <v>811.02</v>
      </c>
      <c r="B1165" s="1109" t="s">
        <v>2968</v>
      </c>
      <c r="C1165" s="1110" t="s">
        <v>2969</v>
      </c>
      <c r="D1165" s="1106" t="s">
        <v>1046</v>
      </c>
      <c r="E1165" s="1107" t="s">
        <v>1210</v>
      </c>
      <c r="H1165">
        <v>1</v>
      </c>
      <c r="I1165" t="s">
        <v>1046</v>
      </c>
    </row>
    <row r="1166" spans="1:9" ht="13.5" thickBot="1" x14ac:dyDescent="0.25">
      <c r="A1166" s="1162">
        <v>812</v>
      </c>
      <c r="B1166" s="1104" t="s">
        <v>2970</v>
      </c>
      <c r="C1166" s="1159" t="s">
        <v>2971</v>
      </c>
      <c r="D1166" s="1106"/>
      <c r="E1166" s="1107" t="s">
        <v>1047</v>
      </c>
      <c r="I1166"/>
    </row>
    <row r="1167" spans="1:9" ht="13.5" thickBot="1" x14ac:dyDescent="0.25">
      <c r="A1167" s="1108">
        <v>812.01</v>
      </c>
      <c r="B1167" s="1109" t="s">
        <v>2972</v>
      </c>
      <c r="C1167" s="1110" t="s">
        <v>2973</v>
      </c>
      <c r="D1167" s="1106" t="s">
        <v>1046</v>
      </c>
      <c r="E1167" s="1107" t="s">
        <v>1047</v>
      </c>
      <c r="H1167">
        <v>1</v>
      </c>
      <c r="I1167" t="s">
        <v>1046</v>
      </c>
    </row>
    <row r="1168" spans="1:9" ht="23.25" thickBot="1" x14ac:dyDescent="0.25">
      <c r="A1168" s="1108">
        <v>812.02</v>
      </c>
      <c r="B1168" s="1109" t="s">
        <v>2974</v>
      </c>
      <c r="C1168" s="1110" t="s">
        <v>2975</v>
      </c>
      <c r="D1168" s="1106" t="s">
        <v>1046</v>
      </c>
      <c r="E1168" s="1107" t="s">
        <v>1210</v>
      </c>
      <c r="H1168">
        <v>1</v>
      </c>
      <c r="I1168" t="s">
        <v>1046</v>
      </c>
    </row>
    <row r="1169" spans="1:9" ht="13.5" thickBot="1" x14ac:dyDescent="0.25">
      <c r="A1169" s="1162">
        <v>813</v>
      </c>
      <c r="B1169" s="1104" t="s">
        <v>2976</v>
      </c>
      <c r="C1169" s="1159" t="s">
        <v>2977</v>
      </c>
      <c r="D1169" s="1106"/>
      <c r="E1169" s="1107" t="s">
        <v>1047</v>
      </c>
      <c r="I1169"/>
    </row>
    <row r="1170" spans="1:9" ht="13.5" thickBot="1" x14ac:dyDescent="0.25">
      <c r="A1170" s="1108">
        <v>813.01</v>
      </c>
      <c r="B1170" s="1109" t="s">
        <v>2976</v>
      </c>
      <c r="C1170" s="1110" t="s">
        <v>2977</v>
      </c>
      <c r="D1170" s="1106" t="s">
        <v>1046</v>
      </c>
      <c r="E1170" s="1107" t="s">
        <v>1047</v>
      </c>
      <c r="H1170">
        <v>1</v>
      </c>
      <c r="I1170" t="s">
        <v>1046</v>
      </c>
    </row>
    <row r="1171" spans="1:9" ht="13.5" thickBot="1" x14ac:dyDescent="0.25">
      <c r="A1171" s="1108">
        <v>813.02</v>
      </c>
      <c r="B1171" s="1109" t="s">
        <v>2978</v>
      </c>
      <c r="C1171" s="1110" t="s">
        <v>2979</v>
      </c>
      <c r="D1171" s="1106" t="s">
        <v>1046</v>
      </c>
      <c r="E1171" s="1107" t="s">
        <v>1210</v>
      </c>
      <c r="H1171">
        <v>1</v>
      </c>
      <c r="I1171" t="s">
        <v>1046</v>
      </c>
    </row>
    <row r="1172" spans="1:9" ht="21.75" thickBot="1" x14ac:dyDescent="0.25">
      <c r="A1172" s="1162">
        <v>814</v>
      </c>
      <c r="B1172" s="1104" t="s">
        <v>2980</v>
      </c>
      <c r="C1172" s="1159" t="s">
        <v>2981</v>
      </c>
      <c r="D1172" s="1106"/>
      <c r="E1172" s="1107" t="s">
        <v>1047</v>
      </c>
      <c r="I1172"/>
    </row>
    <row r="1173" spans="1:9" ht="13.5" thickBot="1" x14ac:dyDescent="0.25">
      <c r="A1173" s="1108">
        <v>814.01</v>
      </c>
      <c r="B1173" s="1109" t="s">
        <v>2980</v>
      </c>
      <c r="C1173" s="1110" t="s">
        <v>2981</v>
      </c>
      <c r="D1173" s="1106" t="s">
        <v>1046</v>
      </c>
      <c r="E1173" s="1107" t="s">
        <v>1047</v>
      </c>
      <c r="H1173">
        <v>1</v>
      </c>
      <c r="I1173" t="s">
        <v>1046</v>
      </c>
    </row>
    <row r="1174" spans="1:9" ht="13.5" thickBot="1" x14ac:dyDescent="0.25">
      <c r="A1174" s="1108">
        <v>814.02</v>
      </c>
      <c r="B1174" s="1109" t="s">
        <v>2982</v>
      </c>
      <c r="C1174" s="1110" t="s">
        <v>2983</v>
      </c>
      <c r="D1174" s="1106" t="s">
        <v>1046</v>
      </c>
      <c r="E1174" s="1107" t="s">
        <v>1210</v>
      </c>
      <c r="H1174">
        <v>1</v>
      </c>
      <c r="I1174" t="s">
        <v>1046</v>
      </c>
    </row>
    <row r="1175" spans="1:9" ht="21.75" thickBot="1" x14ac:dyDescent="0.25">
      <c r="A1175" s="1162">
        <v>815</v>
      </c>
      <c r="B1175" s="1104" t="s">
        <v>2984</v>
      </c>
      <c r="C1175" s="1159" t="s">
        <v>2985</v>
      </c>
      <c r="D1175" s="1106"/>
      <c r="E1175" s="1107" t="s">
        <v>1047</v>
      </c>
      <c r="I1175"/>
    </row>
    <row r="1176" spans="1:9" ht="13.5" thickBot="1" x14ac:dyDescent="0.25">
      <c r="A1176" s="1108">
        <v>815.01</v>
      </c>
      <c r="B1176" s="1109" t="s">
        <v>2984</v>
      </c>
      <c r="C1176" s="1110" t="s">
        <v>2986</v>
      </c>
      <c r="D1176" s="1106" t="s">
        <v>1046</v>
      </c>
      <c r="E1176" s="1107" t="s">
        <v>1047</v>
      </c>
      <c r="H1176">
        <v>1</v>
      </c>
      <c r="I1176" t="s">
        <v>1046</v>
      </c>
    </row>
    <row r="1177" spans="1:9" ht="23.25" thickBot="1" x14ac:dyDescent="0.25">
      <c r="A1177" s="1108">
        <v>815.02</v>
      </c>
      <c r="B1177" s="1109" t="s">
        <v>2987</v>
      </c>
      <c r="C1177" s="1110" t="s">
        <v>2988</v>
      </c>
      <c r="D1177" s="1106" t="s">
        <v>1046</v>
      </c>
      <c r="E1177" s="1107" t="s">
        <v>1210</v>
      </c>
      <c r="H1177">
        <v>1</v>
      </c>
      <c r="I1177" t="s">
        <v>1046</v>
      </c>
    </row>
    <row r="1178" spans="1:9" ht="21.75" thickBot="1" x14ac:dyDescent="0.25">
      <c r="A1178" s="1162">
        <v>816</v>
      </c>
      <c r="B1178" s="1104" t="s">
        <v>2989</v>
      </c>
      <c r="C1178" s="1159" t="s">
        <v>2990</v>
      </c>
      <c r="D1178" s="1106"/>
      <c r="E1178" s="1107" t="s">
        <v>1047</v>
      </c>
      <c r="I1178"/>
    </row>
    <row r="1179" spans="1:9" ht="13.5" thickBot="1" x14ac:dyDescent="0.25">
      <c r="A1179" s="1108">
        <v>816.01</v>
      </c>
      <c r="B1179" s="1109" t="s">
        <v>2989</v>
      </c>
      <c r="C1179" s="1110" t="s">
        <v>2990</v>
      </c>
      <c r="D1179" s="1106" t="s">
        <v>1046</v>
      </c>
      <c r="E1179" s="1107" t="s">
        <v>1047</v>
      </c>
      <c r="H1179">
        <v>1</v>
      </c>
      <c r="I1179" t="s">
        <v>1046</v>
      </c>
    </row>
    <row r="1180" spans="1:9" ht="13.5" thickBot="1" x14ac:dyDescent="0.25">
      <c r="A1180" s="1108">
        <v>816.02</v>
      </c>
      <c r="B1180" s="1109" t="s">
        <v>2991</v>
      </c>
      <c r="C1180" s="1110" t="s">
        <v>2992</v>
      </c>
      <c r="D1180" s="1106" t="s">
        <v>1046</v>
      </c>
      <c r="E1180" s="1107" t="s">
        <v>1210</v>
      </c>
      <c r="H1180">
        <v>1</v>
      </c>
      <c r="I1180" t="s">
        <v>1046</v>
      </c>
    </row>
    <row r="1181" spans="1:9" ht="13.5" thickBot="1" x14ac:dyDescent="0.25">
      <c r="A1181" s="1162">
        <v>899</v>
      </c>
      <c r="B1181" s="1104" t="s">
        <v>2993</v>
      </c>
      <c r="C1181" s="1159" t="s">
        <v>2994</v>
      </c>
      <c r="D1181" s="1106"/>
      <c r="E1181" s="1107" t="s">
        <v>1047</v>
      </c>
      <c r="I1181"/>
    </row>
    <row r="1182" spans="1:9" ht="13.5" thickBot="1" x14ac:dyDescent="0.25">
      <c r="A1182" s="1108">
        <v>899.01</v>
      </c>
      <c r="B1182" s="1109" t="s">
        <v>2993</v>
      </c>
      <c r="C1182" s="1110" t="s">
        <v>2994</v>
      </c>
      <c r="D1182" s="1106" t="s">
        <v>1046</v>
      </c>
      <c r="E1182" s="1107" t="s">
        <v>1047</v>
      </c>
      <c r="H1182">
        <v>1</v>
      </c>
      <c r="I1182" t="s">
        <v>1046</v>
      </c>
    </row>
    <row r="1183" spans="1:9" ht="13.5" thickBot="1" x14ac:dyDescent="0.25">
      <c r="A1183" s="1108">
        <v>899.02</v>
      </c>
      <c r="B1183" s="1109" t="s">
        <v>2995</v>
      </c>
      <c r="C1183" s="1110" t="s">
        <v>2996</v>
      </c>
      <c r="D1183" s="1106" t="s">
        <v>1046</v>
      </c>
      <c r="E1183" s="1107" t="s">
        <v>1210</v>
      </c>
      <c r="H1183">
        <v>1</v>
      </c>
      <c r="I1183" t="s">
        <v>1046</v>
      </c>
    </row>
    <row r="1184" spans="1:9" ht="15" x14ac:dyDescent="0.2">
      <c r="C1184" s="1178"/>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3"/>
  <sheetViews>
    <sheetView zoomScale="130" zoomScaleNormal="130" workbookViewId="0">
      <pane xSplit="1" ySplit="4" topLeftCell="B5" activePane="bottomRight" state="frozen"/>
      <selection pane="topRight" activeCell="B1" sqref="B1"/>
      <selection pane="bottomLeft" activeCell="A5" sqref="A5"/>
      <selection pane="bottomRight" activeCell="A120" sqref="A120"/>
    </sheetView>
  </sheetViews>
  <sheetFormatPr baseColWidth="10" defaultColWidth="11.5703125" defaultRowHeight="12" x14ac:dyDescent="0.2"/>
  <cols>
    <col min="1" max="1" width="38.7109375" style="144" customWidth="1"/>
    <col min="2" max="10" width="15.7109375" style="144" customWidth="1"/>
    <col min="11" max="11" width="13.7109375" style="144" customWidth="1"/>
    <col min="12" max="12" width="12.42578125" style="144" customWidth="1"/>
    <col min="13" max="13" width="12.7109375" style="144" customWidth="1"/>
    <col min="14" max="14" width="13" style="144" customWidth="1"/>
    <col min="15" max="15" width="12.85546875" style="144" customWidth="1"/>
    <col min="16" max="16" width="3.140625" style="240" customWidth="1"/>
    <col min="17" max="17" width="10.85546875" style="144" customWidth="1"/>
    <col min="18" max="18" width="11" style="144" customWidth="1"/>
    <col min="19" max="16384" width="11.5703125" style="144"/>
  </cols>
  <sheetData>
    <row r="1" spans="1:16" x14ac:dyDescent="0.2">
      <c r="A1" s="142" t="s">
        <v>297</v>
      </c>
      <c r="B1" s="142"/>
      <c r="C1" s="142"/>
      <c r="D1" s="142"/>
      <c r="E1" s="142"/>
      <c r="F1" s="142"/>
      <c r="G1" s="142"/>
      <c r="H1" s="142"/>
      <c r="I1" s="142"/>
      <c r="J1" s="142"/>
      <c r="K1" s="142"/>
      <c r="L1" s="142"/>
      <c r="M1" s="142"/>
      <c r="N1" s="142"/>
      <c r="O1" s="142"/>
      <c r="P1" s="143"/>
    </row>
    <row r="2" spans="1:16" x14ac:dyDescent="0.2">
      <c r="A2" s="145" t="s">
        <v>95</v>
      </c>
      <c r="B2" s="145"/>
      <c r="C2" s="145"/>
      <c r="D2" s="145"/>
      <c r="E2" s="145"/>
      <c r="F2" s="145"/>
      <c r="G2" s="145"/>
      <c r="H2" s="145"/>
      <c r="I2" s="145"/>
      <c r="J2" s="145"/>
      <c r="K2" s="145"/>
      <c r="L2" s="145"/>
      <c r="M2" s="145"/>
      <c r="N2" s="145"/>
      <c r="O2" s="145"/>
      <c r="P2" s="146"/>
    </row>
    <row r="3" spans="1:16" ht="12.75" customHeight="1" x14ac:dyDescent="0.2">
      <c r="A3" s="147" t="s">
        <v>392</v>
      </c>
      <c r="B3" s="147"/>
      <c r="C3" s="147"/>
      <c r="D3" s="147"/>
      <c r="E3" s="147"/>
      <c r="F3" s="147"/>
      <c r="G3" s="147"/>
      <c r="H3" s="147"/>
      <c r="I3" s="147"/>
      <c r="J3" s="147"/>
      <c r="K3" s="147"/>
      <c r="L3" s="147"/>
      <c r="M3" s="147"/>
      <c r="N3" s="147"/>
      <c r="O3" s="147"/>
      <c r="P3" s="148"/>
    </row>
    <row r="4" spans="1:16" ht="12.75" thickBot="1" x14ac:dyDescent="0.25">
      <c r="A4" s="149"/>
      <c r="B4" s="150">
        <v>2017</v>
      </c>
      <c r="C4" s="150">
        <v>2016</v>
      </c>
      <c r="D4" s="150">
        <v>2015</v>
      </c>
      <c r="E4" s="150">
        <v>2014</v>
      </c>
      <c r="F4" s="150">
        <v>2013</v>
      </c>
      <c r="G4" s="150">
        <v>2012</v>
      </c>
      <c r="H4" s="150">
        <v>2011</v>
      </c>
      <c r="I4" s="150">
        <v>2010</v>
      </c>
      <c r="J4" s="150">
        <v>2009</v>
      </c>
      <c r="K4" s="150">
        <v>2008</v>
      </c>
      <c r="L4" s="150">
        <v>2007</v>
      </c>
      <c r="M4" s="150">
        <v>2006</v>
      </c>
      <c r="N4" s="150">
        <v>2005</v>
      </c>
      <c r="O4" s="150">
        <v>2004</v>
      </c>
      <c r="P4" s="151"/>
    </row>
    <row r="5" spans="1:16" x14ac:dyDescent="0.2">
      <c r="A5" s="152" t="s">
        <v>233</v>
      </c>
      <c r="B5" s="153">
        <v>8000000</v>
      </c>
      <c r="C5" s="153">
        <v>8000000</v>
      </c>
      <c r="D5" s="153">
        <v>8000000</v>
      </c>
      <c r="E5" s="153">
        <v>8000000</v>
      </c>
      <c r="F5" s="153">
        <v>8000000</v>
      </c>
      <c r="G5" s="153">
        <v>8000000</v>
      </c>
      <c r="H5" s="153">
        <v>8000000</v>
      </c>
      <c r="I5" s="153">
        <v>8000000</v>
      </c>
      <c r="J5" s="153">
        <v>8000000</v>
      </c>
      <c r="K5" s="153">
        <v>8000000</v>
      </c>
      <c r="L5" s="153">
        <v>8000000</v>
      </c>
      <c r="M5" s="153">
        <v>8000000</v>
      </c>
      <c r="N5" s="153">
        <v>8000000</v>
      </c>
      <c r="O5" s="153">
        <v>8000000</v>
      </c>
      <c r="P5" s="151"/>
    </row>
    <row r="6" spans="1:16" x14ac:dyDescent="0.2">
      <c r="A6" s="155" t="s">
        <v>234</v>
      </c>
      <c r="B6" s="153"/>
      <c r="C6" s="153"/>
      <c r="D6" s="153"/>
      <c r="E6" s="153"/>
      <c r="F6" s="153"/>
      <c r="G6" s="153"/>
      <c r="H6" s="153"/>
      <c r="I6" s="153"/>
      <c r="J6" s="153"/>
      <c r="K6" s="153"/>
      <c r="L6" s="153"/>
      <c r="M6" s="153"/>
      <c r="N6" s="153"/>
      <c r="O6" s="154"/>
      <c r="P6" s="151"/>
    </row>
    <row r="7" spans="1:16" x14ac:dyDescent="0.2">
      <c r="A7" s="156" t="s">
        <v>299</v>
      </c>
      <c r="B7" s="155"/>
      <c r="C7" s="155"/>
      <c r="D7" s="155"/>
      <c r="E7" s="155"/>
      <c r="F7" s="155"/>
      <c r="G7" s="155"/>
      <c r="H7" s="155"/>
      <c r="I7" s="155"/>
      <c r="J7" s="155"/>
      <c r="K7" s="155"/>
      <c r="L7" s="155"/>
      <c r="M7" s="155"/>
      <c r="N7" s="155"/>
      <c r="O7" s="157"/>
      <c r="P7" s="151"/>
    </row>
    <row r="8" spans="1:16" x14ac:dyDescent="0.2">
      <c r="A8" s="155" t="s">
        <v>300</v>
      </c>
      <c r="B8" s="169">
        <v>-51000</v>
      </c>
      <c r="C8" s="169">
        <v>-51000</v>
      </c>
      <c r="D8" s="169">
        <v>-51000</v>
      </c>
      <c r="E8" s="169">
        <v>-51000</v>
      </c>
      <c r="F8" s="169">
        <v>-51000</v>
      </c>
      <c r="G8" s="169">
        <v>-51000</v>
      </c>
      <c r="H8" s="169">
        <v>-51000</v>
      </c>
      <c r="I8" s="169">
        <v>-51000</v>
      </c>
      <c r="J8" s="169">
        <v>-51000</v>
      </c>
      <c r="K8" s="169">
        <v>-51000</v>
      </c>
      <c r="L8" s="169">
        <v>-51000</v>
      </c>
      <c r="M8" s="169">
        <v>-51000</v>
      </c>
      <c r="N8" s="169">
        <v>-51000</v>
      </c>
      <c r="O8" s="169">
        <v>-51000</v>
      </c>
      <c r="P8" s="151"/>
    </row>
    <row r="9" spans="1:16" x14ac:dyDescent="0.2">
      <c r="A9" s="155" t="s">
        <v>301</v>
      </c>
      <c r="B9" s="169">
        <v>-53000</v>
      </c>
      <c r="C9" s="169">
        <v>-53000</v>
      </c>
      <c r="D9" s="169">
        <v>-53000</v>
      </c>
      <c r="E9" s="169">
        <v>-53000</v>
      </c>
      <c r="F9" s="169">
        <v>-53000</v>
      </c>
      <c r="G9" s="169">
        <v>-53000</v>
      </c>
      <c r="H9" s="169">
        <v>-53000</v>
      </c>
      <c r="I9" s="169">
        <v>-53000</v>
      </c>
      <c r="J9" s="169">
        <v>-53000</v>
      </c>
      <c r="K9" s="169">
        <v>-53000</v>
      </c>
      <c r="L9" s="169">
        <v>-53000</v>
      </c>
      <c r="M9" s="169">
        <v>-53000</v>
      </c>
      <c r="N9" s="169">
        <v>-53000</v>
      </c>
      <c r="O9" s="169">
        <v>-53000</v>
      </c>
      <c r="P9" s="151"/>
    </row>
    <row r="10" spans="1:16" x14ac:dyDescent="0.2">
      <c r="A10" s="155" t="s">
        <v>302</v>
      </c>
      <c r="B10" s="169">
        <v>-53000</v>
      </c>
      <c r="C10" s="169">
        <v>-53000</v>
      </c>
      <c r="D10" s="169">
        <v>-53000</v>
      </c>
      <c r="E10" s="169">
        <v>-53000</v>
      </c>
      <c r="F10" s="169">
        <v>-53000</v>
      </c>
      <c r="G10" s="169">
        <v>-53000</v>
      </c>
      <c r="H10" s="169">
        <v>-53000</v>
      </c>
      <c r="I10" s="169">
        <v>-53000</v>
      </c>
      <c r="J10" s="169">
        <v>-53000</v>
      </c>
      <c r="K10" s="169">
        <v>-53000</v>
      </c>
      <c r="L10" s="169">
        <v>-53000</v>
      </c>
      <c r="M10" s="169">
        <v>-53000</v>
      </c>
      <c r="N10" s="169">
        <v>-53000</v>
      </c>
      <c r="O10" s="169">
        <v>-53000</v>
      </c>
      <c r="P10" s="151"/>
    </row>
    <row r="11" spans="1:16" x14ac:dyDescent="0.2">
      <c r="A11" s="158" t="s">
        <v>277</v>
      </c>
      <c r="B11" s="159">
        <f>SUM(B5:B10)</f>
        <v>7843000</v>
      </c>
      <c r="C11" s="159">
        <f t="shared" ref="C11:G11" si="0">SUM(C5:C10)</f>
        <v>7843000</v>
      </c>
      <c r="D11" s="159">
        <f t="shared" si="0"/>
        <v>7843000</v>
      </c>
      <c r="E11" s="159">
        <f t="shared" si="0"/>
        <v>7843000</v>
      </c>
      <c r="F11" s="159">
        <f t="shared" si="0"/>
        <v>7843000</v>
      </c>
      <c r="G11" s="159">
        <f t="shared" si="0"/>
        <v>7843000</v>
      </c>
      <c r="H11" s="159">
        <f t="shared" ref="H11:O11" si="1">SUM(H5:H10)</f>
        <v>7843000</v>
      </c>
      <c r="I11" s="159">
        <f t="shared" si="1"/>
        <v>7843000</v>
      </c>
      <c r="J11" s="159">
        <f t="shared" si="1"/>
        <v>7843000</v>
      </c>
      <c r="K11" s="159">
        <f t="shared" si="1"/>
        <v>7843000</v>
      </c>
      <c r="L11" s="159">
        <f t="shared" si="1"/>
        <v>7843000</v>
      </c>
      <c r="M11" s="159">
        <f t="shared" si="1"/>
        <v>7843000</v>
      </c>
      <c r="N11" s="159">
        <f t="shared" si="1"/>
        <v>7843000</v>
      </c>
      <c r="O11" s="159">
        <f t="shared" si="1"/>
        <v>7843000</v>
      </c>
      <c r="P11" s="151"/>
    </row>
    <row r="12" spans="1:16" x14ac:dyDescent="0.2">
      <c r="A12" s="155" t="s">
        <v>299</v>
      </c>
      <c r="B12" s="155"/>
      <c r="C12" s="155"/>
      <c r="D12" s="155"/>
      <c r="E12" s="155"/>
      <c r="F12" s="155"/>
      <c r="G12" s="155"/>
      <c r="H12" s="155"/>
      <c r="I12" s="155"/>
      <c r="J12" s="155"/>
      <c r="K12" s="155"/>
      <c r="L12" s="155"/>
      <c r="M12" s="155"/>
      <c r="N12" s="155"/>
      <c r="O12" s="157"/>
      <c r="P12" s="151"/>
    </row>
    <row r="13" spans="1:16" x14ac:dyDescent="0.2">
      <c r="A13" s="156" t="s">
        <v>281</v>
      </c>
      <c r="B13" s="156"/>
      <c r="C13" s="156"/>
      <c r="D13" s="156"/>
      <c r="E13" s="156"/>
      <c r="F13" s="156"/>
      <c r="G13" s="156"/>
      <c r="H13" s="156"/>
      <c r="I13" s="156"/>
      <c r="J13" s="156"/>
      <c r="K13" s="156"/>
      <c r="L13" s="156"/>
      <c r="M13" s="156"/>
      <c r="N13" s="156"/>
      <c r="O13" s="156"/>
      <c r="P13" s="156"/>
    </row>
    <row r="14" spans="1:16" ht="12.75" thickBot="1" x14ac:dyDescent="0.25">
      <c r="A14" s="160" t="s">
        <v>303</v>
      </c>
      <c r="B14" s="161">
        <f t="shared" ref="B14" si="2">+C23</f>
        <v>1130000</v>
      </c>
      <c r="C14" s="161">
        <f t="shared" ref="C14" si="3">+D23</f>
        <v>1130000</v>
      </c>
      <c r="D14" s="161">
        <f t="shared" ref="D14" si="4">+E23</f>
        <v>1130000</v>
      </c>
      <c r="E14" s="161">
        <f t="shared" ref="E14" si="5">+F23</f>
        <v>1130000</v>
      </c>
      <c r="F14" s="161">
        <f t="shared" ref="F14" si="6">+G23</f>
        <v>1130000</v>
      </c>
      <c r="G14" s="161">
        <f t="shared" ref="G14" si="7">+H23</f>
        <v>1130000</v>
      </c>
      <c r="H14" s="161">
        <f t="shared" ref="H14:J14" si="8">+I23</f>
        <v>1130000</v>
      </c>
      <c r="I14" s="161">
        <f t="shared" si="8"/>
        <v>1130000</v>
      </c>
      <c r="J14" s="161">
        <f t="shared" si="8"/>
        <v>1130000</v>
      </c>
      <c r="K14" s="161">
        <f>+L23</f>
        <v>1130000</v>
      </c>
      <c r="L14" s="161">
        <f>+M23</f>
        <v>1130000</v>
      </c>
      <c r="M14" s="161">
        <f>+N23</f>
        <v>1130000</v>
      </c>
      <c r="N14" s="161">
        <f>+O23</f>
        <v>1130000</v>
      </c>
      <c r="O14" s="243">
        <v>850000</v>
      </c>
      <c r="P14" s="151"/>
    </row>
    <row r="15" spans="1:16" x14ac:dyDescent="0.2">
      <c r="A15" s="156" t="s">
        <v>308</v>
      </c>
      <c r="B15" s="155"/>
      <c r="C15" s="155"/>
      <c r="D15" s="155"/>
      <c r="E15" s="155"/>
      <c r="F15" s="155"/>
      <c r="G15" s="155"/>
      <c r="H15" s="155"/>
      <c r="I15" s="155"/>
      <c r="J15" s="155"/>
      <c r="K15" s="155"/>
      <c r="L15" s="155"/>
      <c r="M15" s="155"/>
      <c r="N15" s="155"/>
      <c r="O15" s="162"/>
      <c r="P15" s="151"/>
    </row>
    <row r="16" spans="1:16" x14ac:dyDescent="0.2">
      <c r="A16" s="155" t="s">
        <v>235</v>
      </c>
      <c r="B16" s="169">
        <v>6500000</v>
      </c>
      <c r="C16" s="169">
        <v>6500000</v>
      </c>
      <c r="D16" s="169">
        <v>6500000</v>
      </c>
      <c r="E16" s="169">
        <v>6500000</v>
      </c>
      <c r="F16" s="169">
        <v>6500000</v>
      </c>
      <c r="G16" s="169">
        <v>6500000</v>
      </c>
      <c r="H16" s="169">
        <v>6500000</v>
      </c>
      <c r="I16" s="169">
        <v>6500000</v>
      </c>
      <c r="J16" s="169">
        <v>6500000</v>
      </c>
      <c r="K16" s="169">
        <v>6500000</v>
      </c>
      <c r="L16" s="169">
        <v>6500000</v>
      </c>
      <c r="M16" s="169">
        <v>6500000</v>
      </c>
      <c r="N16" s="169">
        <v>6500000</v>
      </c>
      <c r="O16" s="169">
        <v>6500000</v>
      </c>
      <c r="P16" s="151"/>
    </row>
    <row r="17" spans="1:16" x14ac:dyDescent="0.2">
      <c r="A17" s="155" t="s">
        <v>236</v>
      </c>
      <c r="B17" s="169">
        <v>120000</v>
      </c>
      <c r="C17" s="169">
        <v>120000</v>
      </c>
      <c r="D17" s="169">
        <v>120000</v>
      </c>
      <c r="E17" s="169">
        <v>120000</v>
      </c>
      <c r="F17" s="169">
        <v>120000</v>
      </c>
      <c r="G17" s="169">
        <v>120000</v>
      </c>
      <c r="H17" s="169">
        <v>120000</v>
      </c>
      <c r="I17" s="169">
        <v>120000</v>
      </c>
      <c r="J17" s="169">
        <v>120000</v>
      </c>
      <c r="K17" s="169">
        <v>120000</v>
      </c>
      <c r="L17" s="169">
        <v>120000</v>
      </c>
      <c r="M17" s="169">
        <v>120000</v>
      </c>
      <c r="N17" s="169">
        <v>120000</v>
      </c>
      <c r="O17" s="169">
        <v>120000</v>
      </c>
      <c r="P17" s="151"/>
    </row>
    <row r="18" spans="1:16" x14ac:dyDescent="0.2">
      <c r="A18" s="155" t="s">
        <v>305</v>
      </c>
      <c r="B18" s="169">
        <v>-47000</v>
      </c>
      <c r="C18" s="169">
        <v>-47000</v>
      </c>
      <c r="D18" s="169">
        <v>-47000</v>
      </c>
      <c r="E18" s="169">
        <v>-47000</v>
      </c>
      <c r="F18" s="169">
        <v>-47000</v>
      </c>
      <c r="G18" s="169">
        <v>-47000</v>
      </c>
      <c r="H18" s="169">
        <v>-47000</v>
      </c>
      <c r="I18" s="169">
        <v>-47000</v>
      </c>
      <c r="J18" s="169">
        <v>-47000</v>
      </c>
      <c r="K18" s="169">
        <v>-47000</v>
      </c>
      <c r="L18" s="169">
        <v>-47000</v>
      </c>
      <c r="M18" s="169">
        <v>-47000</v>
      </c>
      <c r="N18" s="169">
        <v>-47000</v>
      </c>
      <c r="O18" s="169">
        <v>-47000</v>
      </c>
      <c r="P18" s="151"/>
    </row>
    <row r="19" spans="1:16" x14ac:dyDescent="0.2">
      <c r="A19" s="155" t="s">
        <v>306</v>
      </c>
      <c r="B19" s="169">
        <v>-31000</v>
      </c>
      <c r="C19" s="169">
        <v>-31000</v>
      </c>
      <c r="D19" s="169">
        <v>-31000</v>
      </c>
      <c r="E19" s="169">
        <v>-31000</v>
      </c>
      <c r="F19" s="169">
        <v>-31000</v>
      </c>
      <c r="G19" s="169">
        <v>-31000</v>
      </c>
      <c r="H19" s="169">
        <v>-31000</v>
      </c>
      <c r="I19" s="169">
        <v>-31000</v>
      </c>
      <c r="J19" s="169">
        <v>-31000</v>
      </c>
      <c r="K19" s="169">
        <v>-31000</v>
      </c>
      <c r="L19" s="169">
        <v>-31000</v>
      </c>
      <c r="M19" s="169">
        <v>-31000</v>
      </c>
      <c r="N19" s="169">
        <v>-31000</v>
      </c>
      <c r="O19" s="169">
        <v>-31000</v>
      </c>
      <c r="P19" s="163"/>
    </row>
    <row r="20" spans="1:16" x14ac:dyDescent="0.2">
      <c r="A20" s="155" t="s">
        <v>307</v>
      </c>
      <c r="B20" s="169">
        <v>171000</v>
      </c>
      <c r="C20" s="169">
        <v>171000</v>
      </c>
      <c r="D20" s="169">
        <v>171000</v>
      </c>
      <c r="E20" s="169">
        <v>171000</v>
      </c>
      <c r="F20" s="169">
        <v>171000</v>
      </c>
      <c r="G20" s="169">
        <v>171000</v>
      </c>
      <c r="H20" s="169">
        <v>171000</v>
      </c>
      <c r="I20" s="169">
        <v>171000</v>
      </c>
      <c r="J20" s="169">
        <v>171000</v>
      </c>
      <c r="K20" s="169">
        <v>171000</v>
      </c>
      <c r="L20" s="169">
        <v>171000</v>
      </c>
      <c r="M20" s="169">
        <v>171000</v>
      </c>
      <c r="N20" s="169">
        <v>171000</v>
      </c>
      <c r="O20" s="169">
        <v>171000</v>
      </c>
      <c r="P20" s="151"/>
    </row>
    <row r="21" spans="1:16" ht="12.75" thickBot="1" x14ac:dyDescent="0.25">
      <c r="A21" s="155"/>
      <c r="B21" s="149">
        <f>SUM(B16:B20)</f>
        <v>6713000</v>
      </c>
      <c r="C21" s="149">
        <f t="shared" ref="C21:G21" si="9">SUM(C16:C20)</f>
        <v>6713000</v>
      </c>
      <c r="D21" s="149">
        <f t="shared" si="9"/>
        <v>6713000</v>
      </c>
      <c r="E21" s="149">
        <f t="shared" si="9"/>
        <v>6713000</v>
      </c>
      <c r="F21" s="149">
        <f t="shared" si="9"/>
        <v>6713000</v>
      </c>
      <c r="G21" s="149">
        <f t="shared" si="9"/>
        <v>6713000</v>
      </c>
      <c r="H21" s="149">
        <f t="shared" ref="H21:O21" si="10">SUM(H16:H20)</f>
        <v>6713000</v>
      </c>
      <c r="I21" s="149">
        <f t="shared" si="10"/>
        <v>6713000</v>
      </c>
      <c r="J21" s="149">
        <f t="shared" si="10"/>
        <v>6713000</v>
      </c>
      <c r="K21" s="149">
        <f t="shared" si="10"/>
        <v>6713000</v>
      </c>
      <c r="L21" s="149">
        <f t="shared" si="10"/>
        <v>6713000</v>
      </c>
      <c r="M21" s="149">
        <f t="shared" si="10"/>
        <v>6713000</v>
      </c>
      <c r="N21" s="149">
        <f t="shared" si="10"/>
        <v>6713000</v>
      </c>
      <c r="O21" s="149">
        <f t="shared" si="10"/>
        <v>6713000</v>
      </c>
      <c r="P21" s="151"/>
    </row>
    <row r="22" spans="1:16" x14ac:dyDescent="0.2">
      <c r="A22" s="160" t="s">
        <v>309</v>
      </c>
      <c r="B22" s="164">
        <f t="shared" ref="B22:O22" si="11">+B14+B21</f>
        <v>7843000</v>
      </c>
      <c r="C22" s="164">
        <f t="shared" ref="C22:G22" si="12">+C14+C21</f>
        <v>7843000</v>
      </c>
      <c r="D22" s="164">
        <f t="shared" si="12"/>
        <v>7843000</v>
      </c>
      <c r="E22" s="164">
        <f t="shared" si="12"/>
        <v>7843000</v>
      </c>
      <c r="F22" s="164">
        <f t="shared" si="12"/>
        <v>7843000</v>
      </c>
      <c r="G22" s="164">
        <f t="shared" si="12"/>
        <v>7843000</v>
      </c>
      <c r="H22" s="164">
        <f t="shared" ref="H22:I22" si="13">+H14+H21</f>
        <v>7843000</v>
      </c>
      <c r="I22" s="164">
        <f t="shared" si="13"/>
        <v>7843000</v>
      </c>
      <c r="J22" s="164">
        <f>+J14+J21</f>
        <v>7843000</v>
      </c>
      <c r="K22" s="164">
        <f t="shared" si="11"/>
        <v>7843000</v>
      </c>
      <c r="L22" s="164">
        <f t="shared" si="11"/>
        <v>7843000</v>
      </c>
      <c r="M22" s="164">
        <f t="shared" si="11"/>
        <v>7843000</v>
      </c>
      <c r="N22" s="164">
        <f t="shared" si="11"/>
        <v>7843000</v>
      </c>
      <c r="O22" s="164">
        <f t="shared" si="11"/>
        <v>7563000</v>
      </c>
      <c r="P22" s="151"/>
    </row>
    <row r="23" spans="1:16" x14ac:dyDescent="0.2">
      <c r="A23" s="242" t="s">
        <v>310</v>
      </c>
      <c r="B23" s="153">
        <v>1130000</v>
      </c>
      <c r="C23" s="153">
        <v>1130000</v>
      </c>
      <c r="D23" s="153">
        <v>1130000</v>
      </c>
      <c r="E23" s="153">
        <v>1130000</v>
      </c>
      <c r="F23" s="153">
        <v>1130000</v>
      </c>
      <c r="G23" s="153">
        <v>1130000</v>
      </c>
      <c r="H23" s="153">
        <v>1130000</v>
      </c>
      <c r="I23" s="153">
        <v>1130000</v>
      </c>
      <c r="J23" s="153">
        <v>1130000</v>
      </c>
      <c r="K23" s="153">
        <v>1130000</v>
      </c>
      <c r="L23" s="153">
        <v>1130000</v>
      </c>
      <c r="M23" s="153">
        <v>1130000</v>
      </c>
      <c r="N23" s="153">
        <v>1130000</v>
      </c>
      <c r="O23" s="153">
        <v>1130000</v>
      </c>
      <c r="P23" s="151"/>
    </row>
    <row r="24" spans="1:16" ht="12.75" thickBot="1" x14ac:dyDescent="0.25">
      <c r="A24" s="165" t="s">
        <v>361</v>
      </c>
      <c r="B24" s="166">
        <f t="shared" ref="B24:O24" si="14">+B22-B23</f>
        <v>6713000</v>
      </c>
      <c r="C24" s="166">
        <f t="shared" ref="C24:G24" si="15">+C22-C23</f>
        <v>6713000</v>
      </c>
      <c r="D24" s="166">
        <f t="shared" si="15"/>
        <v>6713000</v>
      </c>
      <c r="E24" s="166">
        <f t="shared" si="15"/>
        <v>6713000</v>
      </c>
      <c r="F24" s="166">
        <f t="shared" si="15"/>
        <v>6713000</v>
      </c>
      <c r="G24" s="166">
        <f t="shared" si="15"/>
        <v>6713000</v>
      </c>
      <c r="H24" s="166">
        <f t="shared" ref="H24:I24" si="16">+H22-H23</f>
        <v>6713000</v>
      </c>
      <c r="I24" s="166">
        <f t="shared" si="16"/>
        <v>6713000</v>
      </c>
      <c r="J24" s="166">
        <f>+J22-J23</f>
        <v>6713000</v>
      </c>
      <c r="K24" s="166">
        <f t="shared" si="14"/>
        <v>6713000</v>
      </c>
      <c r="L24" s="166">
        <f t="shared" si="14"/>
        <v>6713000</v>
      </c>
      <c r="M24" s="166">
        <f t="shared" si="14"/>
        <v>6713000</v>
      </c>
      <c r="N24" s="166">
        <f t="shared" si="14"/>
        <v>6713000</v>
      </c>
      <c r="O24" s="166">
        <f t="shared" si="14"/>
        <v>6433000</v>
      </c>
      <c r="P24" s="151"/>
    </row>
    <row r="25" spans="1:16" x14ac:dyDescent="0.2">
      <c r="A25" s="158" t="s">
        <v>311</v>
      </c>
      <c r="B25" s="159">
        <f t="shared" ref="B25:O25" si="17">+B11-B24</f>
        <v>1130000</v>
      </c>
      <c r="C25" s="159">
        <f t="shared" ref="C25:G25" si="18">+C11-C24</f>
        <v>1130000</v>
      </c>
      <c r="D25" s="159">
        <f t="shared" si="18"/>
        <v>1130000</v>
      </c>
      <c r="E25" s="159">
        <f t="shared" si="18"/>
        <v>1130000</v>
      </c>
      <c r="F25" s="159">
        <f t="shared" si="18"/>
        <v>1130000</v>
      </c>
      <c r="G25" s="159">
        <f t="shared" si="18"/>
        <v>1130000</v>
      </c>
      <c r="H25" s="159">
        <f t="shared" ref="H25:I25" si="19">+H11-H24</f>
        <v>1130000</v>
      </c>
      <c r="I25" s="159">
        <f t="shared" si="19"/>
        <v>1130000</v>
      </c>
      <c r="J25" s="159">
        <f>+J11-J24</f>
        <v>1130000</v>
      </c>
      <c r="K25" s="159">
        <f t="shared" si="17"/>
        <v>1130000</v>
      </c>
      <c r="L25" s="159">
        <f t="shared" si="17"/>
        <v>1130000</v>
      </c>
      <c r="M25" s="159">
        <f t="shared" si="17"/>
        <v>1130000</v>
      </c>
      <c r="N25" s="159">
        <f t="shared" si="17"/>
        <v>1130000</v>
      </c>
      <c r="O25" s="159">
        <f t="shared" si="17"/>
        <v>1410000</v>
      </c>
      <c r="P25" s="151"/>
    </row>
    <row r="26" spans="1:16" x14ac:dyDescent="0.2">
      <c r="A26" s="156" t="s">
        <v>823</v>
      </c>
      <c r="B26" s="167">
        <f t="shared" ref="B26:O26" si="20">+B25/B5</f>
        <v>0.14124999999999999</v>
      </c>
      <c r="C26" s="167">
        <f t="shared" ref="C26:G26" si="21">+C25/C5</f>
        <v>0.14124999999999999</v>
      </c>
      <c r="D26" s="167">
        <f t="shared" si="21"/>
        <v>0.14124999999999999</v>
      </c>
      <c r="E26" s="167">
        <f t="shared" si="21"/>
        <v>0.14124999999999999</v>
      </c>
      <c r="F26" s="167">
        <f t="shared" si="21"/>
        <v>0.14124999999999999</v>
      </c>
      <c r="G26" s="167">
        <f t="shared" si="21"/>
        <v>0.14124999999999999</v>
      </c>
      <c r="H26" s="167">
        <f t="shared" ref="H26:I26" si="22">+H25/H5</f>
        <v>0.14124999999999999</v>
      </c>
      <c r="I26" s="167">
        <f t="shared" si="22"/>
        <v>0.14124999999999999</v>
      </c>
      <c r="J26" s="167">
        <f>+J25/J5</f>
        <v>0.14124999999999999</v>
      </c>
      <c r="K26" s="167">
        <f t="shared" si="20"/>
        <v>0.14124999999999999</v>
      </c>
      <c r="L26" s="167">
        <f t="shared" si="20"/>
        <v>0.14124999999999999</v>
      </c>
      <c r="M26" s="167">
        <f t="shared" si="20"/>
        <v>0.14124999999999999</v>
      </c>
      <c r="N26" s="167">
        <f t="shared" si="20"/>
        <v>0.14124999999999999</v>
      </c>
      <c r="O26" s="167">
        <f t="shared" si="20"/>
        <v>0.17624999999999999</v>
      </c>
      <c r="P26" s="151"/>
    </row>
    <row r="27" spans="1:16" x14ac:dyDescent="0.2">
      <c r="A27" s="156" t="s">
        <v>313</v>
      </c>
      <c r="B27" s="156"/>
      <c r="C27" s="156"/>
      <c r="D27" s="156"/>
      <c r="E27" s="156"/>
      <c r="F27" s="156"/>
      <c r="G27" s="156"/>
      <c r="H27" s="156"/>
      <c r="I27" s="156"/>
      <c r="J27" s="156"/>
      <c r="K27" s="156"/>
      <c r="L27" s="156"/>
      <c r="M27" s="156"/>
      <c r="N27" s="156"/>
      <c r="O27" s="157"/>
      <c r="P27" s="151"/>
    </row>
    <row r="28" spans="1:16" x14ac:dyDescent="0.2">
      <c r="A28" s="155" t="s">
        <v>314</v>
      </c>
      <c r="B28" s="154">
        <v>137000</v>
      </c>
      <c r="C28" s="154">
        <v>137000</v>
      </c>
      <c r="D28" s="154">
        <v>137000</v>
      </c>
      <c r="E28" s="154">
        <v>137000</v>
      </c>
      <c r="F28" s="154">
        <v>137000</v>
      </c>
      <c r="G28" s="154">
        <v>137000</v>
      </c>
      <c r="H28" s="154">
        <v>137000</v>
      </c>
      <c r="I28" s="154">
        <v>137000</v>
      </c>
      <c r="J28" s="154">
        <v>137000</v>
      </c>
      <c r="K28" s="154">
        <v>137000</v>
      </c>
      <c r="L28" s="154">
        <v>137000</v>
      </c>
      <c r="M28" s="154">
        <v>137000</v>
      </c>
      <c r="N28" s="154">
        <v>137000</v>
      </c>
      <c r="O28" s="154">
        <v>137000</v>
      </c>
      <c r="P28" s="151"/>
    </row>
    <row r="29" spans="1:16" x14ac:dyDescent="0.2">
      <c r="A29" s="155" t="s">
        <v>315</v>
      </c>
      <c r="B29" s="154">
        <v>341000</v>
      </c>
      <c r="C29" s="154">
        <v>341000</v>
      </c>
      <c r="D29" s="154">
        <v>341000</v>
      </c>
      <c r="E29" s="154">
        <v>341000</v>
      </c>
      <c r="F29" s="154">
        <v>341000</v>
      </c>
      <c r="G29" s="154">
        <v>341000</v>
      </c>
      <c r="H29" s="154">
        <v>341000</v>
      </c>
      <c r="I29" s="154">
        <v>341000</v>
      </c>
      <c r="J29" s="154">
        <v>341000</v>
      </c>
      <c r="K29" s="154">
        <v>341000</v>
      </c>
      <c r="L29" s="154">
        <v>341000</v>
      </c>
      <c r="M29" s="154">
        <v>341000</v>
      </c>
      <c r="N29" s="154">
        <v>341000</v>
      </c>
      <c r="O29" s="154">
        <v>341000</v>
      </c>
      <c r="P29" s="151"/>
    </row>
    <row r="30" spans="1:16" ht="12.75" thickBot="1" x14ac:dyDescent="0.25">
      <c r="A30" s="158" t="s">
        <v>316</v>
      </c>
      <c r="B30" s="166">
        <f t="shared" ref="B30:O30" si="23">+B25-B28-B29</f>
        <v>652000</v>
      </c>
      <c r="C30" s="166">
        <f t="shared" ref="C30:G30" si="24">+C25-C28-C29</f>
        <v>652000</v>
      </c>
      <c r="D30" s="166">
        <f t="shared" si="24"/>
        <v>652000</v>
      </c>
      <c r="E30" s="166">
        <f t="shared" si="24"/>
        <v>652000</v>
      </c>
      <c r="F30" s="166">
        <f t="shared" si="24"/>
        <v>652000</v>
      </c>
      <c r="G30" s="166">
        <f t="shared" si="24"/>
        <v>652000</v>
      </c>
      <c r="H30" s="166">
        <f t="shared" si="23"/>
        <v>652000</v>
      </c>
      <c r="I30" s="166">
        <f t="shared" si="23"/>
        <v>652000</v>
      </c>
      <c r="J30" s="166">
        <f t="shared" si="23"/>
        <v>652000</v>
      </c>
      <c r="K30" s="166">
        <f t="shared" si="23"/>
        <v>652000</v>
      </c>
      <c r="L30" s="166">
        <f t="shared" si="23"/>
        <v>652000</v>
      </c>
      <c r="M30" s="166">
        <f t="shared" si="23"/>
        <v>652000</v>
      </c>
      <c r="N30" s="166">
        <f t="shared" si="23"/>
        <v>652000</v>
      </c>
      <c r="O30" s="166">
        <f t="shared" si="23"/>
        <v>932000</v>
      </c>
      <c r="P30" s="151"/>
    </row>
    <row r="31" spans="1:16" ht="12.75" thickBot="1" x14ac:dyDescent="0.25">
      <c r="A31" s="158" t="s">
        <v>824</v>
      </c>
      <c r="B31" s="168">
        <f t="shared" ref="B31:O31" si="25">+B30/B5</f>
        <v>8.1500000000000003E-2</v>
      </c>
      <c r="C31" s="168">
        <f t="shared" ref="C31:G31" si="26">+C30/C5</f>
        <v>8.1500000000000003E-2</v>
      </c>
      <c r="D31" s="168">
        <f t="shared" si="26"/>
        <v>8.1500000000000003E-2</v>
      </c>
      <c r="E31" s="168">
        <f t="shared" si="26"/>
        <v>8.1500000000000003E-2</v>
      </c>
      <c r="F31" s="168">
        <f t="shared" si="26"/>
        <v>8.1500000000000003E-2</v>
      </c>
      <c r="G31" s="168">
        <f t="shared" si="26"/>
        <v>8.1500000000000003E-2</v>
      </c>
      <c r="H31" s="168">
        <f t="shared" si="25"/>
        <v>8.1500000000000003E-2</v>
      </c>
      <c r="I31" s="168">
        <f t="shared" si="25"/>
        <v>8.1500000000000003E-2</v>
      </c>
      <c r="J31" s="168">
        <f t="shared" si="25"/>
        <v>8.1500000000000003E-2</v>
      </c>
      <c r="K31" s="168">
        <f t="shared" si="25"/>
        <v>8.1500000000000003E-2</v>
      </c>
      <c r="L31" s="168">
        <f t="shared" si="25"/>
        <v>8.1500000000000003E-2</v>
      </c>
      <c r="M31" s="168">
        <f t="shared" si="25"/>
        <v>8.1500000000000003E-2</v>
      </c>
      <c r="N31" s="168">
        <f t="shared" si="25"/>
        <v>8.1500000000000003E-2</v>
      </c>
      <c r="O31" s="168">
        <f t="shared" si="25"/>
        <v>0.11650000000000001</v>
      </c>
      <c r="P31" s="151"/>
    </row>
    <row r="32" spans="1:16" x14ac:dyDescent="0.2">
      <c r="A32" s="158" t="s">
        <v>239</v>
      </c>
      <c r="B32" s="159"/>
      <c r="C32" s="159"/>
      <c r="D32" s="159"/>
      <c r="E32" s="159"/>
      <c r="F32" s="159"/>
      <c r="G32" s="159"/>
      <c r="H32" s="159"/>
      <c r="I32" s="159"/>
      <c r="J32" s="159"/>
      <c r="K32" s="159"/>
      <c r="L32" s="159"/>
      <c r="M32" s="159"/>
      <c r="N32" s="159"/>
      <c r="O32" s="159"/>
      <c r="P32" s="151"/>
    </row>
    <row r="33" spans="1:16" x14ac:dyDescent="0.2">
      <c r="A33" s="155" t="s">
        <v>45</v>
      </c>
      <c r="B33" s="169">
        <v>-14000</v>
      </c>
      <c r="C33" s="169">
        <v>-14000</v>
      </c>
      <c r="D33" s="169">
        <v>-14000</v>
      </c>
      <c r="E33" s="169">
        <v>-14000</v>
      </c>
      <c r="F33" s="169">
        <v>-14000</v>
      </c>
      <c r="G33" s="169">
        <v>-14000</v>
      </c>
      <c r="H33" s="169">
        <v>-14000</v>
      </c>
      <c r="I33" s="169">
        <v>-14000</v>
      </c>
      <c r="J33" s="169">
        <v>-14000</v>
      </c>
      <c r="K33" s="169">
        <v>-14000</v>
      </c>
      <c r="L33" s="169">
        <v>-14000</v>
      </c>
      <c r="M33" s="169">
        <v>-14000</v>
      </c>
      <c r="N33" s="169">
        <v>-14000</v>
      </c>
      <c r="O33" s="169">
        <v>-14000</v>
      </c>
      <c r="P33" s="151"/>
    </row>
    <row r="34" spans="1:16" x14ac:dyDescent="0.2">
      <c r="A34" s="155" t="s">
        <v>243</v>
      </c>
      <c r="B34" s="169">
        <v>-630</v>
      </c>
      <c r="C34" s="169">
        <v>-630</v>
      </c>
      <c r="D34" s="169">
        <v>-630</v>
      </c>
      <c r="E34" s="169">
        <v>-630</v>
      </c>
      <c r="F34" s="169">
        <v>-630</v>
      </c>
      <c r="G34" s="169">
        <v>-630</v>
      </c>
      <c r="H34" s="169">
        <v>-630</v>
      </c>
      <c r="I34" s="169">
        <v>-630</v>
      </c>
      <c r="J34" s="169">
        <v>-630</v>
      </c>
      <c r="K34" s="169">
        <v>-630</v>
      </c>
      <c r="L34" s="169">
        <v>-630</v>
      </c>
      <c r="M34" s="169">
        <v>-630</v>
      </c>
      <c r="N34" s="169">
        <v>-630</v>
      </c>
      <c r="O34" s="169">
        <v>-630</v>
      </c>
      <c r="P34" s="151"/>
    </row>
    <row r="35" spans="1:16" x14ac:dyDescent="0.2">
      <c r="A35" s="155" t="s">
        <v>46</v>
      </c>
      <c r="B35" s="169">
        <v>18000</v>
      </c>
      <c r="C35" s="169">
        <v>18000</v>
      </c>
      <c r="D35" s="169">
        <v>18000</v>
      </c>
      <c r="E35" s="169">
        <v>18000</v>
      </c>
      <c r="F35" s="169">
        <v>18000</v>
      </c>
      <c r="G35" s="169">
        <v>18000</v>
      </c>
      <c r="H35" s="169">
        <v>18000</v>
      </c>
      <c r="I35" s="169">
        <v>18000</v>
      </c>
      <c r="J35" s="169">
        <v>18000</v>
      </c>
      <c r="K35" s="169">
        <v>18000</v>
      </c>
      <c r="L35" s="169">
        <v>18000</v>
      </c>
      <c r="M35" s="169">
        <v>18000</v>
      </c>
      <c r="N35" s="169">
        <v>18000</v>
      </c>
      <c r="O35" s="169">
        <v>18000</v>
      </c>
      <c r="P35" s="151"/>
    </row>
    <row r="36" spans="1:16" x14ac:dyDescent="0.2">
      <c r="A36" s="155" t="s">
        <v>242</v>
      </c>
      <c r="B36" s="169">
        <v>1300</v>
      </c>
      <c r="C36" s="169">
        <v>1300</v>
      </c>
      <c r="D36" s="169">
        <v>1300</v>
      </c>
      <c r="E36" s="169">
        <v>1300</v>
      </c>
      <c r="F36" s="169">
        <v>1300</v>
      </c>
      <c r="G36" s="169">
        <v>1300</v>
      </c>
      <c r="H36" s="169">
        <v>1300</v>
      </c>
      <c r="I36" s="169">
        <v>1300</v>
      </c>
      <c r="J36" s="169">
        <v>1300</v>
      </c>
      <c r="K36" s="169">
        <v>1300</v>
      </c>
      <c r="L36" s="169">
        <v>1300</v>
      </c>
      <c r="M36" s="169">
        <v>1300</v>
      </c>
      <c r="N36" s="169">
        <v>1300</v>
      </c>
      <c r="O36" s="169">
        <v>1300</v>
      </c>
      <c r="P36" s="151"/>
    </row>
    <row r="37" spans="1:16" x14ac:dyDescent="0.2">
      <c r="A37" s="170" t="s">
        <v>241</v>
      </c>
      <c r="B37" s="171">
        <f>SUM(B33:B36)</f>
        <v>4670</v>
      </c>
      <c r="C37" s="171">
        <f t="shared" ref="C37:G37" si="27">SUM(C33:C36)</f>
        <v>4670</v>
      </c>
      <c r="D37" s="171">
        <f t="shared" si="27"/>
        <v>4670</v>
      </c>
      <c r="E37" s="171">
        <f t="shared" si="27"/>
        <v>4670</v>
      </c>
      <c r="F37" s="171">
        <f t="shared" si="27"/>
        <v>4670</v>
      </c>
      <c r="G37" s="171">
        <f t="shared" si="27"/>
        <v>4670</v>
      </c>
      <c r="H37" s="171">
        <f t="shared" ref="H37:O37" si="28">SUM(H33:H36)</f>
        <v>4670</v>
      </c>
      <c r="I37" s="171">
        <f t="shared" si="28"/>
        <v>4670</v>
      </c>
      <c r="J37" s="171">
        <f t="shared" si="28"/>
        <v>4670</v>
      </c>
      <c r="K37" s="171">
        <f t="shared" si="28"/>
        <v>4670</v>
      </c>
      <c r="L37" s="171">
        <f t="shared" si="28"/>
        <v>4670</v>
      </c>
      <c r="M37" s="171">
        <f t="shared" si="28"/>
        <v>4670</v>
      </c>
      <c r="N37" s="171">
        <f t="shared" si="28"/>
        <v>4670</v>
      </c>
      <c r="O37" s="171">
        <f t="shared" si="28"/>
        <v>4670</v>
      </c>
      <c r="P37" s="151"/>
    </row>
    <row r="38" spans="1:16" x14ac:dyDescent="0.2">
      <c r="A38" s="156" t="s">
        <v>240</v>
      </c>
      <c r="B38" s="172"/>
      <c r="C38" s="172"/>
      <c r="D38" s="172"/>
      <c r="E38" s="172"/>
      <c r="F38" s="172"/>
      <c r="G38" s="172"/>
      <c r="H38" s="172"/>
      <c r="I38" s="172"/>
      <c r="J38" s="172"/>
      <c r="K38" s="172"/>
      <c r="L38" s="172"/>
      <c r="M38" s="172"/>
      <c r="N38" s="172"/>
      <c r="O38" s="172"/>
      <c r="P38" s="151"/>
    </row>
    <row r="39" spans="1:16" x14ac:dyDescent="0.2">
      <c r="A39" s="155" t="s">
        <v>410</v>
      </c>
      <c r="B39" s="169">
        <v>-7100</v>
      </c>
      <c r="C39" s="169">
        <v>-7100</v>
      </c>
      <c r="D39" s="169">
        <v>-7100</v>
      </c>
      <c r="E39" s="169">
        <v>-7100</v>
      </c>
      <c r="F39" s="169">
        <v>-7100</v>
      </c>
      <c r="G39" s="169">
        <v>-7100</v>
      </c>
      <c r="H39" s="169">
        <v>-7100</v>
      </c>
      <c r="I39" s="169">
        <v>-7100</v>
      </c>
      <c r="J39" s="169">
        <v>-7100</v>
      </c>
      <c r="K39" s="169">
        <v>-7100</v>
      </c>
      <c r="L39" s="169">
        <v>-7100</v>
      </c>
      <c r="M39" s="169">
        <v>-7100</v>
      </c>
      <c r="N39" s="169">
        <v>-7100</v>
      </c>
      <c r="O39" s="169">
        <v>-7100</v>
      </c>
      <c r="P39" s="151"/>
    </row>
    <row r="40" spans="1:16" x14ac:dyDescent="0.2">
      <c r="A40" s="155" t="s">
        <v>414</v>
      </c>
      <c r="B40" s="256">
        <v>-58169</v>
      </c>
      <c r="C40" s="256">
        <v>-71744</v>
      </c>
      <c r="D40" s="256">
        <v>-71744</v>
      </c>
      <c r="E40" s="256">
        <v>-71744</v>
      </c>
      <c r="F40" s="256">
        <v>-71744</v>
      </c>
      <c r="G40" s="256">
        <v>-71744</v>
      </c>
      <c r="H40" s="256">
        <v>-67894</v>
      </c>
      <c r="I40" s="256">
        <v>-127309</v>
      </c>
      <c r="J40" s="256"/>
      <c r="K40" s="256"/>
      <c r="L40" s="256"/>
      <c r="M40" s="256"/>
      <c r="N40" s="256"/>
      <c r="O40" s="256"/>
      <c r="P40" s="151"/>
    </row>
    <row r="41" spans="1:16" x14ac:dyDescent="0.2">
      <c r="A41" s="155" t="s">
        <v>415</v>
      </c>
      <c r="B41" s="256"/>
      <c r="C41" s="256"/>
      <c r="D41" s="256"/>
      <c r="E41" s="256"/>
      <c r="F41" s="256"/>
      <c r="G41" s="256"/>
      <c r="H41" s="256"/>
      <c r="I41" s="256"/>
      <c r="J41" s="256"/>
      <c r="K41" s="256"/>
      <c r="L41" s="256"/>
      <c r="M41" s="256"/>
      <c r="N41" s="256"/>
      <c r="O41" s="256"/>
      <c r="P41" s="151"/>
    </row>
    <row r="42" spans="1:16" x14ac:dyDescent="0.2">
      <c r="A42" s="155" t="s">
        <v>411</v>
      </c>
      <c r="B42" s="169">
        <v>4100</v>
      </c>
      <c r="C42" s="169">
        <v>4100</v>
      </c>
      <c r="D42" s="169">
        <v>4100</v>
      </c>
      <c r="E42" s="169">
        <v>4100</v>
      </c>
      <c r="F42" s="169">
        <v>4100</v>
      </c>
      <c r="G42" s="169">
        <v>4100</v>
      </c>
      <c r="H42" s="169">
        <v>4100</v>
      </c>
      <c r="I42" s="169">
        <v>4100</v>
      </c>
      <c r="J42" s="169">
        <v>4100</v>
      </c>
      <c r="K42" s="169">
        <v>4100</v>
      </c>
      <c r="L42" s="169">
        <v>4100</v>
      </c>
      <c r="M42" s="169">
        <v>4100</v>
      </c>
      <c r="N42" s="169">
        <v>4100</v>
      </c>
      <c r="O42" s="169">
        <v>4100</v>
      </c>
      <c r="P42" s="151"/>
    </row>
    <row r="43" spans="1:16" x14ac:dyDescent="0.2">
      <c r="A43" s="173" t="s">
        <v>97</v>
      </c>
      <c r="B43" s="169">
        <v>550</v>
      </c>
      <c r="C43" s="169">
        <v>550</v>
      </c>
      <c r="D43" s="169">
        <v>550</v>
      </c>
      <c r="E43" s="169">
        <v>550</v>
      </c>
      <c r="F43" s="169">
        <v>550</v>
      </c>
      <c r="G43" s="169">
        <v>550</v>
      </c>
      <c r="H43" s="169">
        <v>550</v>
      </c>
      <c r="I43" s="169">
        <v>550</v>
      </c>
      <c r="J43" s="169">
        <v>550</v>
      </c>
      <c r="K43" s="169">
        <v>550</v>
      </c>
      <c r="L43" s="169">
        <v>550</v>
      </c>
      <c r="M43" s="169">
        <v>550</v>
      </c>
      <c r="N43" s="169">
        <v>550</v>
      </c>
      <c r="O43" s="169">
        <v>550</v>
      </c>
      <c r="P43" s="151"/>
    </row>
    <row r="44" spans="1:16" x14ac:dyDescent="0.2">
      <c r="A44" s="170" t="s">
        <v>241</v>
      </c>
      <c r="B44" s="174">
        <f>SUM(B39:B43)</f>
        <v>-60619</v>
      </c>
      <c r="C44" s="174">
        <f t="shared" ref="C44:G44" si="29">SUM(C39:C43)</f>
        <v>-74194</v>
      </c>
      <c r="D44" s="174">
        <f t="shared" si="29"/>
        <v>-74194</v>
      </c>
      <c r="E44" s="174">
        <f t="shared" si="29"/>
        <v>-74194</v>
      </c>
      <c r="F44" s="174">
        <f t="shared" si="29"/>
        <v>-74194</v>
      </c>
      <c r="G44" s="174">
        <f t="shared" si="29"/>
        <v>-74194</v>
      </c>
      <c r="H44" s="174">
        <f t="shared" ref="H44:O44" si="30">SUM(H39:H43)</f>
        <v>-70344</v>
      </c>
      <c r="I44" s="174">
        <f t="shared" si="30"/>
        <v>-129759</v>
      </c>
      <c r="J44" s="174">
        <f t="shared" si="30"/>
        <v>-2450</v>
      </c>
      <c r="K44" s="174">
        <f t="shared" si="30"/>
        <v>-2450</v>
      </c>
      <c r="L44" s="174">
        <f t="shared" si="30"/>
        <v>-2450</v>
      </c>
      <c r="M44" s="174">
        <f t="shared" si="30"/>
        <v>-2450</v>
      </c>
      <c r="N44" s="174">
        <f t="shared" si="30"/>
        <v>-2450</v>
      </c>
      <c r="O44" s="174">
        <f t="shared" si="30"/>
        <v>-2450</v>
      </c>
      <c r="P44" s="151"/>
    </row>
    <row r="45" spans="1:16" x14ac:dyDescent="0.2">
      <c r="A45" s="175" t="s">
        <v>819</v>
      </c>
      <c r="B45" s="241">
        <f t="shared" ref="B45:O45" si="31">+B30+B37+B44</f>
        <v>596051</v>
      </c>
      <c r="C45" s="241">
        <f t="shared" ref="C45:G45" si="32">+C30+C37+C44</f>
        <v>582476</v>
      </c>
      <c r="D45" s="241">
        <f t="shared" si="32"/>
        <v>582476</v>
      </c>
      <c r="E45" s="241">
        <f t="shared" si="32"/>
        <v>582476</v>
      </c>
      <c r="F45" s="241">
        <f t="shared" si="32"/>
        <v>582476</v>
      </c>
      <c r="G45" s="241">
        <f t="shared" si="32"/>
        <v>582476</v>
      </c>
      <c r="H45" s="241">
        <f t="shared" ref="H45:I45" si="33">+H30+H37+H44</f>
        <v>586326</v>
      </c>
      <c r="I45" s="241">
        <f t="shared" si="33"/>
        <v>526911</v>
      </c>
      <c r="J45" s="241">
        <f>+J30+J37+J44</f>
        <v>654220</v>
      </c>
      <c r="K45" s="241">
        <f t="shared" si="31"/>
        <v>654220</v>
      </c>
      <c r="L45" s="241">
        <f t="shared" si="31"/>
        <v>654220</v>
      </c>
      <c r="M45" s="241">
        <f t="shared" si="31"/>
        <v>654220</v>
      </c>
      <c r="N45" s="241">
        <f t="shared" si="31"/>
        <v>654220</v>
      </c>
      <c r="O45" s="241">
        <f t="shared" si="31"/>
        <v>934220</v>
      </c>
      <c r="P45" s="151"/>
    </row>
    <row r="46" spans="1:16" x14ac:dyDescent="0.2">
      <c r="A46" s="155" t="s">
        <v>412</v>
      </c>
      <c r="B46" s="255">
        <v>226860</v>
      </c>
      <c r="C46" s="255">
        <v>214350</v>
      </c>
      <c r="D46" s="255">
        <v>214350</v>
      </c>
      <c r="E46" s="255">
        <v>214350</v>
      </c>
      <c r="F46" s="255">
        <v>214350</v>
      </c>
      <c r="G46" s="255">
        <v>214350</v>
      </c>
      <c r="H46" s="255">
        <v>190182</v>
      </c>
      <c r="I46" s="255">
        <v>318310</v>
      </c>
      <c r="J46" s="255"/>
      <c r="K46" s="255"/>
      <c r="L46" s="255"/>
      <c r="M46" s="255"/>
      <c r="N46" s="255"/>
      <c r="O46" s="255"/>
      <c r="P46" s="151"/>
    </row>
    <row r="47" spans="1:16" x14ac:dyDescent="0.2">
      <c r="A47" s="155" t="s">
        <v>413</v>
      </c>
      <c r="B47" s="255"/>
      <c r="C47" s="255"/>
      <c r="D47" s="255"/>
      <c r="E47" s="255"/>
      <c r="F47" s="255"/>
      <c r="G47" s="255"/>
      <c r="H47" s="255"/>
      <c r="I47" s="255"/>
      <c r="J47" s="255"/>
      <c r="K47" s="255"/>
      <c r="L47" s="255"/>
      <c r="M47" s="255"/>
      <c r="N47" s="255"/>
      <c r="O47" s="255"/>
      <c r="P47" s="151"/>
    </row>
    <row r="48" spans="1:16" x14ac:dyDescent="0.2">
      <c r="A48" s="155" t="s">
        <v>439</v>
      </c>
      <c r="B48" s="176"/>
      <c r="C48" s="176"/>
      <c r="D48" s="176"/>
      <c r="E48" s="176"/>
      <c r="F48" s="176"/>
      <c r="G48" s="176"/>
      <c r="H48" s="176"/>
      <c r="I48" s="176"/>
      <c r="J48" s="176"/>
      <c r="K48" s="176"/>
      <c r="L48" s="153">
        <v>0</v>
      </c>
      <c r="M48" s="153">
        <v>62679</v>
      </c>
      <c r="N48" s="153"/>
      <c r="O48" s="153">
        <v>196000</v>
      </c>
      <c r="P48" s="151"/>
    </row>
    <row r="49" spans="1:24" x14ac:dyDescent="0.2">
      <c r="A49" s="155" t="s">
        <v>544</v>
      </c>
      <c r="B49" s="255"/>
      <c r="C49" s="255"/>
      <c r="D49" s="255"/>
      <c r="E49" s="255"/>
      <c r="F49" s="255"/>
      <c r="G49" s="255"/>
      <c r="H49" s="255"/>
      <c r="I49" s="255"/>
      <c r="J49" s="255"/>
      <c r="K49" s="255"/>
      <c r="L49" s="244"/>
      <c r="M49" s="244"/>
      <c r="N49" s="244"/>
      <c r="O49" s="244"/>
      <c r="P49" s="151"/>
    </row>
    <row r="50" spans="1:24" x14ac:dyDescent="0.2">
      <c r="A50" s="155" t="s">
        <v>818</v>
      </c>
      <c r="B50" s="255"/>
      <c r="C50" s="255"/>
      <c r="D50" s="255"/>
      <c r="E50" s="255"/>
      <c r="F50" s="255"/>
      <c r="G50" s="255"/>
      <c r="H50" s="255"/>
      <c r="I50" s="255"/>
      <c r="J50" s="255"/>
      <c r="K50" s="255"/>
      <c r="L50" s="244"/>
      <c r="M50" s="244"/>
      <c r="N50" s="244"/>
      <c r="O50" s="244"/>
      <c r="P50" s="151"/>
    </row>
    <row r="51" spans="1:24" x14ac:dyDescent="0.2">
      <c r="A51" s="158" t="s">
        <v>820</v>
      </c>
      <c r="B51" s="177">
        <f>SUM(B46:B50)</f>
        <v>226860</v>
      </c>
      <c r="C51" s="177">
        <f t="shared" ref="C51:G51" si="34">SUM(C46:C50)</f>
        <v>214350</v>
      </c>
      <c r="D51" s="177">
        <f t="shared" si="34"/>
        <v>214350</v>
      </c>
      <c r="E51" s="177">
        <f t="shared" si="34"/>
        <v>214350</v>
      </c>
      <c r="F51" s="177">
        <f t="shared" si="34"/>
        <v>214350</v>
      </c>
      <c r="G51" s="177">
        <f t="shared" si="34"/>
        <v>214350</v>
      </c>
      <c r="H51" s="177">
        <f t="shared" ref="H51:O51" si="35">SUM(H46:H50)</f>
        <v>190182</v>
      </c>
      <c r="I51" s="177">
        <f t="shared" si="35"/>
        <v>318310</v>
      </c>
      <c r="J51" s="177">
        <f t="shared" si="35"/>
        <v>0</v>
      </c>
      <c r="K51" s="177">
        <f t="shared" si="35"/>
        <v>0</v>
      </c>
      <c r="L51" s="177">
        <f t="shared" si="35"/>
        <v>0</v>
      </c>
      <c r="M51" s="177">
        <f t="shared" si="35"/>
        <v>62679</v>
      </c>
      <c r="N51" s="177">
        <f t="shared" si="35"/>
        <v>0</v>
      </c>
      <c r="O51" s="177">
        <f t="shared" si="35"/>
        <v>196000</v>
      </c>
      <c r="P51" s="151"/>
    </row>
    <row r="52" spans="1:24" x14ac:dyDescent="0.2">
      <c r="A52" s="158" t="s">
        <v>821</v>
      </c>
      <c r="B52" s="178">
        <f>+B51/B45</f>
        <v>0.38060501534264685</v>
      </c>
      <c r="C52" s="178">
        <f t="shared" ref="C52:G52" si="36">+C51/C45</f>
        <v>0.36799799476716638</v>
      </c>
      <c r="D52" s="178">
        <f t="shared" si="36"/>
        <v>0.36799799476716638</v>
      </c>
      <c r="E52" s="178">
        <f t="shared" si="36"/>
        <v>0.36799799476716638</v>
      </c>
      <c r="F52" s="178">
        <f t="shared" si="36"/>
        <v>0.36799799476716638</v>
      </c>
      <c r="G52" s="178">
        <f t="shared" si="36"/>
        <v>0.36799799476716638</v>
      </c>
      <c r="H52" s="178">
        <f t="shared" ref="H52:O52" si="37">+H51/H45</f>
        <v>0.32436221487704792</v>
      </c>
      <c r="I52" s="178">
        <f t="shared" si="37"/>
        <v>0.60410581673185793</v>
      </c>
      <c r="J52" s="178">
        <f t="shared" si="37"/>
        <v>0</v>
      </c>
      <c r="K52" s="178">
        <f t="shared" si="37"/>
        <v>0</v>
      </c>
      <c r="L52" s="178">
        <f t="shared" si="37"/>
        <v>0</v>
      </c>
      <c r="M52" s="178">
        <f t="shared" si="37"/>
        <v>9.580722081257069E-2</v>
      </c>
      <c r="N52" s="178">
        <f t="shared" si="37"/>
        <v>0</v>
      </c>
      <c r="O52" s="178">
        <f t="shared" si="37"/>
        <v>0.20980068934512214</v>
      </c>
      <c r="P52" s="151"/>
    </row>
    <row r="53" spans="1:24" ht="12.75" thickBot="1" x14ac:dyDescent="0.25">
      <c r="A53" s="158" t="s">
        <v>416</v>
      </c>
      <c r="B53" s="179">
        <f>+B45-B51</f>
        <v>369191</v>
      </c>
      <c r="C53" s="179">
        <f t="shared" ref="C53:G53" si="38">+C45-C51</f>
        <v>368126</v>
      </c>
      <c r="D53" s="179">
        <f t="shared" si="38"/>
        <v>368126</v>
      </c>
      <c r="E53" s="179">
        <f t="shared" si="38"/>
        <v>368126</v>
      </c>
      <c r="F53" s="179">
        <f t="shared" si="38"/>
        <v>368126</v>
      </c>
      <c r="G53" s="179">
        <f t="shared" si="38"/>
        <v>368126</v>
      </c>
      <c r="H53" s="179">
        <f t="shared" ref="H53:O53" si="39">+H45-H51</f>
        <v>396144</v>
      </c>
      <c r="I53" s="179">
        <f t="shared" si="39"/>
        <v>208601</v>
      </c>
      <c r="J53" s="179">
        <f t="shared" si="39"/>
        <v>654220</v>
      </c>
      <c r="K53" s="179">
        <f t="shared" si="39"/>
        <v>654220</v>
      </c>
      <c r="L53" s="179">
        <f t="shared" si="39"/>
        <v>654220</v>
      </c>
      <c r="M53" s="179">
        <f t="shared" si="39"/>
        <v>591541</v>
      </c>
      <c r="N53" s="179">
        <f t="shared" si="39"/>
        <v>654220</v>
      </c>
      <c r="O53" s="179">
        <f t="shared" si="39"/>
        <v>738220</v>
      </c>
      <c r="P53" s="151"/>
    </row>
    <row r="54" spans="1:24" ht="12.75" thickTop="1" x14ac:dyDescent="0.2">
      <c r="A54" s="180"/>
      <c r="B54" s="181">
        <f t="shared" ref="B54:O54" si="40">+B53/B5</f>
        <v>4.6148874999999999E-2</v>
      </c>
      <c r="C54" s="181">
        <f t="shared" ref="C54:G54" si="41">+C53/C5</f>
        <v>4.6015750000000001E-2</v>
      </c>
      <c r="D54" s="181">
        <f t="shared" si="41"/>
        <v>4.6015750000000001E-2</v>
      </c>
      <c r="E54" s="181">
        <f t="shared" si="41"/>
        <v>4.6015750000000001E-2</v>
      </c>
      <c r="F54" s="181">
        <f t="shared" si="41"/>
        <v>4.6015750000000001E-2</v>
      </c>
      <c r="G54" s="181">
        <f t="shared" si="41"/>
        <v>4.6015750000000001E-2</v>
      </c>
      <c r="H54" s="181">
        <f t="shared" si="40"/>
        <v>4.9518E-2</v>
      </c>
      <c r="I54" s="181">
        <f t="shared" si="40"/>
        <v>2.6075125000000001E-2</v>
      </c>
      <c r="J54" s="181">
        <f t="shared" si="40"/>
        <v>8.1777500000000003E-2</v>
      </c>
      <c r="K54" s="181">
        <f t="shared" si="40"/>
        <v>8.1777500000000003E-2</v>
      </c>
      <c r="L54" s="181">
        <f t="shared" si="40"/>
        <v>8.1777500000000003E-2</v>
      </c>
      <c r="M54" s="181">
        <f t="shared" si="40"/>
        <v>7.3942624999999998E-2</v>
      </c>
      <c r="N54" s="181">
        <f t="shared" si="40"/>
        <v>8.1777500000000003E-2</v>
      </c>
      <c r="O54" s="181">
        <f t="shared" si="40"/>
        <v>9.2277499999999998E-2</v>
      </c>
      <c r="P54" s="180"/>
    </row>
    <row r="55" spans="1:24" x14ac:dyDescent="0.2">
      <c r="A55" s="182"/>
      <c r="B55" s="162"/>
      <c r="C55" s="162"/>
      <c r="D55" s="162"/>
      <c r="E55" s="162"/>
      <c r="F55" s="162"/>
      <c r="G55" s="162"/>
      <c r="H55" s="162"/>
      <c r="I55" s="162"/>
      <c r="J55" s="162"/>
      <c r="K55" s="162"/>
      <c r="L55" s="162"/>
      <c r="M55" s="162"/>
      <c r="N55" s="162"/>
      <c r="O55" s="162"/>
      <c r="P55" s="182"/>
    </row>
    <row r="56" spans="1:24" x14ac:dyDescent="0.2">
      <c r="A56" s="525" t="str">
        <f>+'Acum inventario'!A1</f>
        <v>Empresa Comercial, SA de CV</v>
      </c>
      <c r="B56" s="525"/>
      <c r="C56" s="525"/>
      <c r="D56" s="525"/>
      <c r="E56" s="525"/>
      <c r="F56" s="525"/>
      <c r="G56" s="525"/>
      <c r="H56" s="525"/>
      <c r="I56" s="525"/>
      <c r="J56" s="525"/>
      <c r="K56" s="525"/>
      <c r="L56" s="525"/>
      <c r="M56" s="525"/>
      <c r="N56" s="525"/>
      <c r="O56" s="525"/>
      <c r="P56" s="525"/>
      <c r="Q56" s="183"/>
      <c r="R56" s="183"/>
    </row>
    <row r="57" spans="1:24" x14ac:dyDescent="0.2">
      <c r="A57" s="526" t="s">
        <v>232</v>
      </c>
      <c r="B57" s="527"/>
      <c r="C57" s="527"/>
      <c r="D57" s="527"/>
      <c r="E57" s="527"/>
      <c r="F57" s="527"/>
      <c r="G57" s="527"/>
      <c r="H57" s="527"/>
      <c r="I57" s="527"/>
      <c r="J57" s="527"/>
      <c r="K57" s="527"/>
      <c r="L57" s="527"/>
      <c r="M57" s="527"/>
      <c r="N57" s="527"/>
      <c r="O57" s="527"/>
      <c r="P57" s="495"/>
      <c r="Q57" s="184"/>
      <c r="R57" s="184"/>
    </row>
    <row r="58" spans="1:24" ht="12.75" thickBot="1" x14ac:dyDescent="0.25">
      <c r="A58" s="185"/>
      <c r="B58" s="186">
        <f t="shared" ref="B58:N58" si="42">+B4</f>
        <v>2017</v>
      </c>
      <c r="C58" s="186">
        <f t="shared" si="42"/>
        <v>2016</v>
      </c>
      <c r="D58" s="186">
        <f t="shared" si="42"/>
        <v>2015</v>
      </c>
      <c r="E58" s="186">
        <f t="shared" si="42"/>
        <v>2014</v>
      </c>
      <c r="F58" s="186">
        <f t="shared" si="42"/>
        <v>2013</v>
      </c>
      <c r="G58" s="186">
        <f t="shared" si="42"/>
        <v>2012</v>
      </c>
      <c r="H58" s="186">
        <f t="shared" si="42"/>
        <v>2011</v>
      </c>
      <c r="I58" s="186">
        <f t="shared" si="42"/>
        <v>2010</v>
      </c>
      <c r="J58" s="186">
        <f t="shared" si="42"/>
        <v>2009</v>
      </c>
      <c r="K58" s="186">
        <f t="shared" si="42"/>
        <v>2008</v>
      </c>
      <c r="L58" s="186">
        <f t="shared" si="42"/>
        <v>2007</v>
      </c>
      <c r="M58" s="186">
        <f t="shared" si="42"/>
        <v>2006</v>
      </c>
      <c r="N58" s="186">
        <f t="shared" si="42"/>
        <v>2005</v>
      </c>
      <c r="O58" s="186">
        <f t="shared" ref="O58" si="43">+O4</f>
        <v>2004</v>
      </c>
      <c r="P58" s="187"/>
      <c r="Q58" s="188"/>
      <c r="R58" s="188"/>
    </row>
    <row r="59" spans="1:24" x14ac:dyDescent="0.2">
      <c r="A59" s="189" t="s">
        <v>362</v>
      </c>
      <c r="B59" s="162">
        <f t="shared" ref="B59:G59" si="44">+B79</f>
        <v>8220208.9379064133</v>
      </c>
      <c r="C59" s="162">
        <f t="shared" si="44"/>
        <v>8220208.9379064133</v>
      </c>
      <c r="D59" s="162">
        <f t="shared" si="44"/>
        <v>8220208.9379064133</v>
      </c>
      <c r="E59" s="162">
        <f t="shared" si="44"/>
        <v>8253624.8671099534</v>
      </c>
      <c r="F59" s="162">
        <f t="shared" si="44"/>
        <v>8253624.8671099534</v>
      </c>
      <c r="G59" s="162">
        <f t="shared" si="44"/>
        <v>8270332.8317117235</v>
      </c>
      <c r="H59" s="162">
        <f t="shared" ref="H59:I59" si="45">+H79</f>
        <v>8231832.8317117235</v>
      </c>
      <c r="I59" s="162">
        <f t="shared" si="45"/>
        <v>8554512.3074631691</v>
      </c>
      <c r="J59" s="162">
        <f>+J79</f>
        <v>8231832.8317117235</v>
      </c>
      <c r="K59" s="162">
        <f t="shared" ref="K59:O59" si="46">+K79</f>
        <v>8231832.8317117235</v>
      </c>
      <c r="L59" s="162">
        <f t="shared" si="46"/>
        <v>8554512.3074631691</v>
      </c>
      <c r="M59" s="162">
        <f t="shared" si="46"/>
        <v>8252907.5925886221</v>
      </c>
      <c r="N59" s="162">
        <f t="shared" si="46"/>
        <v>8352856.6371681411</v>
      </c>
      <c r="O59" s="162">
        <f t="shared" si="46"/>
        <v>8080400</v>
      </c>
      <c r="P59" s="182"/>
      <c r="S59" s="190"/>
    </row>
    <row r="60" spans="1:24" x14ac:dyDescent="0.2">
      <c r="A60" s="191" t="s">
        <v>363</v>
      </c>
      <c r="B60" s="162">
        <f t="shared" ref="B60:G60" si="47">+B95</f>
        <v>7580347.6210916005</v>
      </c>
      <c r="C60" s="162">
        <f t="shared" si="47"/>
        <v>7577781.308871231</v>
      </c>
      <c r="D60" s="162">
        <f t="shared" si="47"/>
        <v>7575424.8533239961</v>
      </c>
      <c r="E60" s="162">
        <f t="shared" si="47"/>
        <v>7584859.4169048965</v>
      </c>
      <c r="F60" s="162">
        <f t="shared" si="47"/>
        <v>7570204.9272869444</v>
      </c>
      <c r="G60" s="162">
        <f t="shared" si="47"/>
        <v>7568386.7272869442</v>
      </c>
      <c r="H60" s="162">
        <f t="shared" ref="H60:I60" si="48">+H95</f>
        <v>7586278.1748620886</v>
      </c>
      <c r="I60" s="162">
        <f t="shared" si="48"/>
        <v>7481864.3272869438</v>
      </c>
      <c r="J60" s="162">
        <f>+J95</f>
        <v>7609173.3272869438</v>
      </c>
      <c r="K60" s="162">
        <f t="shared" ref="K60:O60" si="49">+K95</f>
        <v>7668587.9748620894</v>
      </c>
      <c r="L60" s="162">
        <f t="shared" si="49"/>
        <v>7345211.0956224985</v>
      </c>
      <c r="M60" s="162">
        <f t="shared" si="49"/>
        <v>7586572.3039565179</v>
      </c>
      <c r="N60" s="162">
        <f t="shared" si="49"/>
        <v>7347293.7518806579</v>
      </c>
      <c r="O60" s="162">
        <f t="shared" si="49"/>
        <v>7707067</v>
      </c>
      <c r="P60" s="182"/>
      <c r="S60" s="190"/>
    </row>
    <row r="61" spans="1:24" x14ac:dyDescent="0.2">
      <c r="A61" s="192" t="s">
        <v>822</v>
      </c>
      <c r="B61" s="193">
        <f t="shared" ref="B61:G61" si="50">+B59-B60</f>
        <v>639861.31681481283</v>
      </c>
      <c r="C61" s="193">
        <f t="shared" si="50"/>
        <v>642427.6290351823</v>
      </c>
      <c r="D61" s="193">
        <f t="shared" si="50"/>
        <v>644784.08458241727</v>
      </c>
      <c r="E61" s="193">
        <f t="shared" si="50"/>
        <v>668765.45020505693</v>
      </c>
      <c r="F61" s="193">
        <f t="shared" si="50"/>
        <v>683419.93982300907</v>
      </c>
      <c r="G61" s="193">
        <f t="shared" si="50"/>
        <v>701946.1044247793</v>
      </c>
      <c r="H61" s="193">
        <f t="shared" ref="H61:I61" si="51">+H59-H60</f>
        <v>645554.65684963483</v>
      </c>
      <c r="I61" s="193">
        <f t="shared" si="51"/>
        <v>1072647.9801762253</v>
      </c>
      <c r="J61" s="193">
        <f>+J59-J60</f>
        <v>622659.50442477968</v>
      </c>
      <c r="K61" s="193">
        <f t="shared" ref="K61:O61" si="52">+K59-K60</f>
        <v>563244.85684963409</v>
      </c>
      <c r="L61" s="193">
        <f t="shared" si="52"/>
        <v>1209301.2118406706</v>
      </c>
      <c r="M61" s="193">
        <f t="shared" si="52"/>
        <v>666335.28863210417</v>
      </c>
      <c r="N61" s="193">
        <f t="shared" si="52"/>
        <v>1005562.8852874832</v>
      </c>
      <c r="O61" s="193">
        <f t="shared" si="52"/>
        <v>373333</v>
      </c>
      <c r="P61" s="182"/>
      <c r="S61" s="190"/>
      <c r="V61" s="190"/>
      <c r="W61" s="190"/>
      <c r="X61" s="190"/>
    </row>
    <row r="62" spans="1:24" x14ac:dyDescent="0.2">
      <c r="A62" s="194" t="s">
        <v>825</v>
      </c>
      <c r="B62" s="195">
        <f>+B61-'RF y dividendos'!B15</f>
        <v>0</v>
      </c>
      <c r="C62" s="195">
        <f>+C61-'RF y dividendos'!C15</f>
        <v>0</v>
      </c>
      <c r="D62" s="195">
        <f>+D61-'RF y dividendos'!D15</f>
        <v>0</v>
      </c>
      <c r="E62" s="195">
        <f>+E61-'RF y dividendos'!E15</f>
        <v>0</v>
      </c>
      <c r="F62" s="195">
        <f>+F61-'RF y dividendos'!F15</f>
        <v>0</v>
      </c>
      <c r="G62" s="195">
        <f>+G61-'RF y dividendos'!G15</f>
        <v>0</v>
      </c>
      <c r="H62" s="195">
        <f>+H61-'RF y dividendos'!H15</f>
        <v>0</v>
      </c>
      <c r="I62" s="195">
        <f>+I61-'RF y dividendos'!I15</f>
        <v>0</v>
      </c>
      <c r="J62" s="195">
        <f>+J61-'RF y dividendos'!J15</f>
        <v>0</v>
      </c>
      <c r="K62" s="195">
        <f>+K61-'RF y dividendos'!K15</f>
        <v>0</v>
      </c>
      <c r="L62" s="195">
        <f>+L61-'RF y dividendos'!L15</f>
        <v>0</v>
      </c>
      <c r="M62" s="195">
        <f>+M61-'RF y dividendos'!M15</f>
        <v>0</v>
      </c>
      <c r="N62" s="195">
        <f>+N61-'RF y dividendos'!N15</f>
        <v>0</v>
      </c>
      <c r="O62" s="195">
        <f>+O61-'RF y dividendos'!O15</f>
        <v>0</v>
      </c>
      <c r="P62" s="182"/>
      <c r="S62" s="190"/>
      <c r="V62" s="190"/>
      <c r="W62" s="190"/>
      <c r="X62" s="190"/>
    </row>
    <row r="63" spans="1:24" ht="17.25" customHeight="1" thickBot="1" x14ac:dyDescent="0.25">
      <c r="A63" s="196" t="s">
        <v>364</v>
      </c>
      <c r="B63" s="197"/>
      <c r="C63" s="197"/>
      <c r="D63" s="197"/>
      <c r="E63" s="197"/>
      <c r="F63" s="197"/>
      <c r="G63" s="197"/>
      <c r="H63" s="197"/>
      <c r="I63" s="197"/>
      <c r="J63" s="197"/>
      <c r="K63" s="197"/>
      <c r="L63" s="197"/>
      <c r="M63" s="197"/>
      <c r="N63" s="197"/>
      <c r="O63" s="197"/>
      <c r="P63" s="182"/>
      <c r="S63" s="190"/>
      <c r="T63" s="190"/>
      <c r="U63" s="190"/>
      <c r="V63" s="190"/>
      <c r="W63" s="190"/>
    </row>
    <row r="64" spans="1:24" x14ac:dyDescent="0.2">
      <c r="A64" s="198" t="s">
        <v>365</v>
      </c>
      <c r="B64" s="199">
        <f t="shared" ref="B64:G64" si="53">IF(B61-B63&gt;0,+B61-B63,0)</f>
        <v>639861.31681481283</v>
      </c>
      <c r="C64" s="199">
        <f t="shared" si="53"/>
        <v>642427.6290351823</v>
      </c>
      <c r="D64" s="199">
        <f t="shared" si="53"/>
        <v>644784.08458241727</v>
      </c>
      <c r="E64" s="199">
        <f t="shared" si="53"/>
        <v>668765.45020505693</v>
      </c>
      <c r="F64" s="199">
        <f t="shared" si="53"/>
        <v>683419.93982300907</v>
      </c>
      <c r="G64" s="199">
        <f t="shared" si="53"/>
        <v>701946.1044247793</v>
      </c>
      <c r="H64" s="199">
        <f t="shared" ref="H64:O64" si="54">IF(H61-H63&gt;0,+H61-H63,0)</f>
        <v>645554.65684963483</v>
      </c>
      <c r="I64" s="199">
        <f t="shared" si="54"/>
        <v>1072647.9801762253</v>
      </c>
      <c r="J64" s="199">
        <f t="shared" si="54"/>
        <v>622659.50442477968</v>
      </c>
      <c r="K64" s="199">
        <f t="shared" si="54"/>
        <v>563244.85684963409</v>
      </c>
      <c r="L64" s="199">
        <f t="shared" si="54"/>
        <v>1209301.2118406706</v>
      </c>
      <c r="M64" s="199">
        <f t="shared" si="54"/>
        <v>666335.28863210417</v>
      </c>
      <c r="N64" s="199">
        <f t="shared" si="54"/>
        <v>1005562.8852874832</v>
      </c>
      <c r="O64" s="199">
        <f t="shared" si="54"/>
        <v>373333</v>
      </c>
      <c r="P64" s="182"/>
      <c r="S64" s="190"/>
      <c r="T64" s="190"/>
      <c r="U64" s="190"/>
      <c r="V64" s="190"/>
      <c r="W64" s="190"/>
    </row>
    <row r="65" spans="1:23" ht="12.75" thickBot="1" x14ac:dyDescent="0.25">
      <c r="A65" s="200" t="s">
        <v>278</v>
      </c>
      <c r="B65" s="201">
        <v>0.3</v>
      </c>
      <c r="C65" s="201">
        <v>0.3</v>
      </c>
      <c r="D65" s="201">
        <v>0.3</v>
      </c>
      <c r="E65" s="201">
        <v>0.3</v>
      </c>
      <c r="F65" s="201">
        <v>0.3</v>
      </c>
      <c r="G65" s="201">
        <v>0.3</v>
      </c>
      <c r="H65" s="201">
        <v>0.3</v>
      </c>
      <c r="I65" s="201">
        <v>0.3</v>
      </c>
      <c r="J65" s="201">
        <v>0.28000000000000003</v>
      </c>
      <c r="K65" s="201">
        <v>0.28000000000000003</v>
      </c>
      <c r="L65" s="201">
        <v>0.28000000000000003</v>
      </c>
      <c r="M65" s="201">
        <v>0.28999999999999998</v>
      </c>
      <c r="N65" s="201">
        <v>0.3</v>
      </c>
      <c r="O65" s="201">
        <v>0.33</v>
      </c>
      <c r="P65" s="182"/>
      <c r="S65" s="190"/>
      <c r="T65" s="190"/>
      <c r="U65" s="190"/>
      <c r="V65" s="190"/>
      <c r="W65" s="190"/>
    </row>
    <row r="66" spans="1:23" ht="12.75" thickBot="1" x14ac:dyDescent="0.25">
      <c r="A66" s="253" t="s">
        <v>366</v>
      </c>
      <c r="B66" s="254">
        <f t="shared" ref="B66:G66" si="55">+B64*B65</f>
        <v>191958.39504444384</v>
      </c>
      <c r="C66" s="254">
        <f t="shared" si="55"/>
        <v>192728.28871055468</v>
      </c>
      <c r="D66" s="254">
        <f t="shared" si="55"/>
        <v>193435.22537472518</v>
      </c>
      <c r="E66" s="254">
        <f t="shared" si="55"/>
        <v>200629.63506151707</v>
      </c>
      <c r="F66" s="254">
        <f t="shared" si="55"/>
        <v>205025.98194690273</v>
      </c>
      <c r="G66" s="254">
        <f t="shared" si="55"/>
        <v>210583.83132743379</v>
      </c>
      <c r="H66" s="254">
        <f t="shared" ref="H66:I66" si="56">+H64*H65</f>
        <v>193666.39705489043</v>
      </c>
      <c r="I66" s="254">
        <f t="shared" si="56"/>
        <v>321794.3940528676</v>
      </c>
      <c r="J66" s="254">
        <f>+J64*J65</f>
        <v>174344.66123893834</v>
      </c>
      <c r="K66" s="254">
        <f t="shared" ref="K66:O66" si="57">+K64*K65</f>
        <v>157708.55991789757</v>
      </c>
      <c r="L66" s="254">
        <f t="shared" si="57"/>
        <v>338604.33931538777</v>
      </c>
      <c r="M66" s="254">
        <f t="shared" si="57"/>
        <v>193237.23370331019</v>
      </c>
      <c r="N66" s="254">
        <f t="shared" si="57"/>
        <v>301668.86558624497</v>
      </c>
      <c r="O66" s="254">
        <f t="shared" si="57"/>
        <v>123199.89</v>
      </c>
      <c r="P66" s="182"/>
      <c r="S66" s="190"/>
      <c r="T66" s="190"/>
      <c r="U66" s="190"/>
      <c r="V66" s="190"/>
      <c r="W66" s="190"/>
    </row>
    <row r="67" spans="1:23" ht="12.75" thickBot="1" x14ac:dyDescent="0.25">
      <c r="A67" s="203" t="s">
        <v>6</v>
      </c>
      <c r="B67" s="203"/>
      <c r="C67" s="203"/>
      <c r="D67" s="203"/>
      <c r="E67" s="203"/>
      <c r="F67" s="203"/>
      <c r="G67" s="203"/>
      <c r="H67" s="203"/>
      <c r="I67" s="203"/>
      <c r="J67" s="203"/>
      <c r="K67" s="203"/>
      <c r="L67" s="203"/>
      <c r="M67" s="203"/>
      <c r="N67" s="203"/>
      <c r="O67" s="203"/>
      <c r="P67" s="182"/>
      <c r="S67" s="190"/>
      <c r="T67" s="190"/>
      <c r="U67" s="190"/>
      <c r="V67" s="190"/>
      <c r="W67" s="190"/>
    </row>
    <row r="68" spans="1:23" x14ac:dyDescent="0.2">
      <c r="A68" s="198" t="s">
        <v>4</v>
      </c>
      <c r="B68" s="257"/>
      <c r="C68" s="257"/>
      <c r="D68" s="257"/>
      <c r="E68" s="257"/>
      <c r="F68" s="257"/>
      <c r="G68" s="257"/>
      <c r="H68" s="257"/>
      <c r="I68" s="257"/>
      <c r="J68" s="257"/>
      <c r="K68" s="257"/>
      <c r="L68" s="257"/>
      <c r="M68" s="257"/>
      <c r="N68" s="257"/>
      <c r="O68" s="257"/>
      <c r="P68" s="182"/>
      <c r="S68" s="190"/>
      <c r="T68" s="190"/>
      <c r="U68" s="190"/>
      <c r="V68" s="190"/>
      <c r="W68" s="190"/>
    </row>
    <row r="69" spans="1:23" ht="12.75" thickBot="1" x14ac:dyDescent="0.25">
      <c r="A69" s="204" t="s">
        <v>5</v>
      </c>
      <c r="B69" s="205">
        <f>+'RF y dividendos'!B27</f>
        <v>71129.68072072808</v>
      </c>
      <c r="C69" s="205">
        <f>+'RF y dividendos'!C27</f>
        <v>71435.490392467851</v>
      </c>
      <c r="D69" s="205">
        <f>+'RF y dividendos'!D27</f>
        <v>71927.274889495879</v>
      </c>
      <c r="E69" s="205">
        <f>+'RF y dividendos'!E27</f>
        <v>74488.664312541121</v>
      </c>
      <c r="F69" s="205">
        <f>+'RF y dividendos'!F27</f>
        <v>76121.192920354006</v>
      </c>
      <c r="G69" s="205">
        <f>+'RF y dividendos'!G27</f>
        <v>77791.989380531013</v>
      </c>
      <c r="H69" s="205">
        <f>+'RF y dividendos'!H27</f>
        <v>75973.789380530987</v>
      </c>
      <c r="I69" s="205">
        <f>+'RF y dividendos'!I27</f>
        <v>114183.23695567565</v>
      </c>
      <c r="J69" s="205">
        <f>+'RF y dividendos'!J27</f>
        <v>69184.389380530978</v>
      </c>
      <c r="K69" s="205">
        <f>+'RF y dividendos'!K27</f>
        <v>69184.389380530891</v>
      </c>
      <c r="L69" s="205">
        <f>+'RF y dividendos'!L27</f>
        <v>128599.03695567552</v>
      </c>
      <c r="M69" s="205">
        <f>+'RF y dividendos'!M27</f>
        <v>76689.157716085334</v>
      </c>
      <c r="N69" s="205">
        <f>+'RF y dividendos'!N27</f>
        <v>100556.28852874838</v>
      </c>
      <c r="O69" s="205">
        <f>+'RF y dividendos'!O27</f>
        <v>37333.300000000003</v>
      </c>
      <c r="P69" s="182"/>
      <c r="S69" s="190"/>
      <c r="T69" s="190"/>
      <c r="U69" s="190"/>
      <c r="V69" s="190"/>
      <c r="W69" s="190"/>
    </row>
    <row r="70" spans="1:23" x14ac:dyDescent="0.2">
      <c r="A70" s="182"/>
      <c r="B70" s="182"/>
      <c r="C70" s="182"/>
      <c r="D70" s="182"/>
      <c r="E70" s="182"/>
      <c r="F70" s="182"/>
      <c r="G70" s="182"/>
      <c r="H70" s="182"/>
      <c r="I70" s="182"/>
      <c r="J70" s="182"/>
      <c r="K70" s="182"/>
      <c r="L70" s="182"/>
      <c r="M70" s="182"/>
      <c r="N70" s="182"/>
      <c r="O70" s="182"/>
      <c r="P70" s="162"/>
      <c r="Q70" s="190"/>
      <c r="R70" s="190"/>
      <c r="S70" s="190"/>
      <c r="T70" s="190"/>
      <c r="U70" s="190"/>
      <c r="V70" s="190"/>
      <c r="W70" s="190"/>
    </row>
    <row r="71" spans="1:23" ht="12.75" thickBot="1" x14ac:dyDescent="0.25">
      <c r="A71" s="206" t="s">
        <v>362</v>
      </c>
      <c r="B71" s="173"/>
      <c r="C71" s="173"/>
      <c r="D71" s="173"/>
      <c r="E71" s="173"/>
      <c r="F71" s="173"/>
      <c r="G71" s="173"/>
      <c r="H71" s="173"/>
      <c r="I71" s="173"/>
      <c r="J71" s="173"/>
      <c r="K71" s="173"/>
      <c r="L71" s="173"/>
      <c r="M71" s="173"/>
      <c r="N71" s="173"/>
      <c r="O71" s="173"/>
      <c r="P71" s="182"/>
      <c r="R71" s="190"/>
      <c r="S71" s="190"/>
      <c r="T71" s="190"/>
      <c r="U71" s="190"/>
      <c r="V71" s="190"/>
      <c r="W71" s="190"/>
    </row>
    <row r="72" spans="1:23" ht="12.75" thickBot="1" x14ac:dyDescent="0.25">
      <c r="A72" s="207"/>
      <c r="B72" s="208">
        <f t="shared" ref="B72:O72" si="58">+B58</f>
        <v>2017</v>
      </c>
      <c r="C72" s="208">
        <f t="shared" si="58"/>
        <v>2016</v>
      </c>
      <c r="D72" s="208">
        <f t="shared" si="58"/>
        <v>2015</v>
      </c>
      <c r="E72" s="208">
        <f t="shared" si="58"/>
        <v>2014</v>
      </c>
      <c r="F72" s="208">
        <f t="shared" si="58"/>
        <v>2013</v>
      </c>
      <c r="G72" s="208">
        <f t="shared" si="58"/>
        <v>2012</v>
      </c>
      <c r="H72" s="208">
        <f t="shared" si="58"/>
        <v>2011</v>
      </c>
      <c r="I72" s="208">
        <f t="shared" si="58"/>
        <v>2010</v>
      </c>
      <c r="J72" s="208">
        <f t="shared" si="58"/>
        <v>2009</v>
      </c>
      <c r="K72" s="208">
        <f t="shared" si="58"/>
        <v>2008</v>
      </c>
      <c r="L72" s="208">
        <f t="shared" si="58"/>
        <v>2007</v>
      </c>
      <c r="M72" s="208">
        <f t="shared" si="58"/>
        <v>2006</v>
      </c>
      <c r="N72" s="208">
        <f t="shared" si="58"/>
        <v>2005</v>
      </c>
      <c r="O72" s="208">
        <f t="shared" si="58"/>
        <v>2004</v>
      </c>
      <c r="P72" s="182"/>
      <c r="R72" s="190"/>
      <c r="S72" s="190"/>
      <c r="T72" s="190"/>
      <c r="U72" s="190"/>
      <c r="V72" s="190"/>
      <c r="W72" s="190"/>
    </row>
    <row r="73" spans="1:23" x14ac:dyDescent="0.2">
      <c r="A73" s="155" t="s">
        <v>298</v>
      </c>
      <c r="B73" s="209">
        <f t="shared" ref="B73:G73" si="59">+B5</f>
        <v>8000000</v>
      </c>
      <c r="C73" s="209">
        <f t="shared" si="59"/>
        <v>8000000</v>
      </c>
      <c r="D73" s="209">
        <f t="shared" si="59"/>
        <v>8000000</v>
      </c>
      <c r="E73" s="209">
        <f t="shared" si="59"/>
        <v>8000000</v>
      </c>
      <c r="F73" s="209">
        <f t="shared" si="59"/>
        <v>8000000</v>
      </c>
      <c r="G73" s="209">
        <f t="shared" si="59"/>
        <v>8000000</v>
      </c>
      <c r="H73" s="209">
        <f t="shared" ref="H73:O73" si="60">+H5</f>
        <v>8000000</v>
      </c>
      <c r="I73" s="209">
        <f t="shared" si="60"/>
        <v>8000000</v>
      </c>
      <c r="J73" s="209">
        <f t="shared" si="60"/>
        <v>8000000</v>
      </c>
      <c r="K73" s="209">
        <f t="shared" si="60"/>
        <v>8000000</v>
      </c>
      <c r="L73" s="209">
        <f t="shared" si="60"/>
        <v>8000000</v>
      </c>
      <c r="M73" s="209">
        <f t="shared" si="60"/>
        <v>8000000</v>
      </c>
      <c r="N73" s="209">
        <f t="shared" si="60"/>
        <v>8000000</v>
      </c>
      <c r="O73" s="209">
        <f t="shared" si="60"/>
        <v>8000000</v>
      </c>
      <c r="P73" s="182"/>
      <c r="R73" s="190"/>
      <c r="S73" s="190"/>
      <c r="T73" s="190"/>
      <c r="U73" s="190"/>
      <c r="V73" s="190"/>
      <c r="W73" s="190"/>
    </row>
    <row r="74" spans="1:23" x14ac:dyDescent="0.2">
      <c r="A74" s="155" t="s">
        <v>46</v>
      </c>
      <c r="B74" s="169">
        <f t="shared" ref="B74:G74" si="61">+B35</f>
        <v>18000</v>
      </c>
      <c r="C74" s="169">
        <f t="shared" si="61"/>
        <v>18000</v>
      </c>
      <c r="D74" s="169">
        <f t="shared" si="61"/>
        <v>18000</v>
      </c>
      <c r="E74" s="169">
        <f t="shared" si="61"/>
        <v>18000</v>
      </c>
      <c r="F74" s="169">
        <f t="shared" si="61"/>
        <v>18000</v>
      </c>
      <c r="G74" s="169">
        <f t="shared" si="61"/>
        <v>18000</v>
      </c>
      <c r="H74" s="169">
        <f t="shared" ref="H74:I74" si="62">+H35</f>
        <v>18000</v>
      </c>
      <c r="I74" s="169">
        <f t="shared" si="62"/>
        <v>18000</v>
      </c>
      <c r="J74" s="169">
        <f t="shared" ref="J74:O75" si="63">+J35</f>
        <v>18000</v>
      </c>
      <c r="K74" s="169">
        <f t="shared" si="63"/>
        <v>18000</v>
      </c>
      <c r="L74" s="169">
        <f t="shared" si="63"/>
        <v>18000</v>
      </c>
      <c r="M74" s="169">
        <f t="shared" si="63"/>
        <v>18000</v>
      </c>
      <c r="N74" s="169">
        <f t="shared" si="63"/>
        <v>18000</v>
      </c>
      <c r="O74" s="169">
        <f t="shared" si="63"/>
        <v>18000</v>
      </c>
      <c r="P74" s="182"/>
      <c r="R74" s="190"/>
      <c r="S74" s="190"/>
      <c r="T74" s="190"/>
      <c r="U74" s="190"/>
      <c r="V74" s="190"/>
      <c r="W74" s="190"/>
    </row>
    <row r="75" spans="1:23" x14ac:dyDescent="0.2">
      <c r="A75" s="155" t="s">
        <v>238</v>
      </c>
      <c r="B75" s="169">
        <f t="shared" ref="B75:G75" si="64">+B36</f>
        <v>1300</v>
      </c>
      <c r="C75" s="169">
        <f t="shared" si="64"/>
        <v>1300</v>
      </c>
      <c r="D75" s="169">
        <f t="shared" si="64"/>
        <v>1300</v>
      </c>
      <c r="E75" s="169">
        <f t="shared" si="64"/>
        <v>1300</v>
      </c>
      <c r="F75" s="169">
        <f t="shared" si="64"/>
        <v>1300</v>
      </c>
      <c r="G75" s="169">
        <f t="shared" si="64"/>
        <v>1300</v>
      </c>
      <c r="H75" s="169">
        <f t="shared" ref="H75:I75" si="65">+H36</f>
        <v>1300</v>
      </c>
      <c r="I75" s="169">
        <f t="shared" si="65"/>
        <v>1300</v>
      </c>
      <c r="J75" s="169">
        <f t="shared" si="63"/>
        <v>1300</v>
      </c>
      <c r="K75" s="169">
        <f t="shared" si="63"/>
        <v>1300</v>
      </c>
      <c r="L75" s="169">
        <f t="shared" si="63"/>
        <v>1300</v>
      </c>
      <c r="M75" s="169">
        <f t="shared" si="63"/>
        <v>1300</v>
      </c>
      <c r="N75" s="169">
        <f t="shared" si="63"/>
        <v>1300</v>
      </c>
      <c r="O75" s="169">
        <f t="shared" si="63"/>
        <v>1300</v>
      </c>
      <c r="P75" s="182"/>
      <c r="R75" s="190"/>
      <c r="S75" s="190"/>
      <c r="T75" s="190"/>
      <c r="U75" s="190"/>
      <c r="V75" s="190"/>
      <c r="W75" s="190"/>
    </row>
    <row r="76" spans="1:23" x14ac:dyDescent="0.2">
      <c r="A76" s="182" t="s">
        <v>411</v>
      </c>
      <c r="B76" s="169">
        <f t="shared" ref="B76:G76" si="66">+B42</f>
        <v>4100</v>
      </c>
      <c r="C76" s="169">
        <f t="shared" si="66"/>
        <v>4100</v>
      </c>
      <c r="D76" s="169">
        <f t="shared" si="66"/>
        <v>4100</v>
      </c>
      <c r="E76" s="169">
        <f t="shared" si="66"/>
        <v>4100</v>
      </c>
      <c r="F76" s="169">
        <f t="shared" si="66"/>
        <v>4100</v>
      </c>
      <c r="G76" s="169">
        <f t="shared" si="66"/>
        <v>4100</v>
      </c>
      <c r="H76" s="169">
        <f t="shared" ref="H76:I76" si="67">+H42</f>
        <v>4100</v>
      </c>
      <c r="I76" s="169">
        <f t="shared" si="67"/>
        <v>4100</v>
      </c>
      <c r="J76" s="169">
        <f>+J42</f>
        <v>4100</v>
      </c>
      <c r="K76" s="169">
        <f t="shared" ref="K76:O76" si="68">+K42</f>
        <v>4100</v>
      </c>
      <c r="L76" s="169">
        <f t="shared" si="68"/>
        <v>4100</v>
      </c>
      <c r="M76" s="169">
        <f t="shared" si="68"/>
        <v>4100</v>
      </c>
      <c r="N76" s="169">
        <f t="shared" si="68"/>
        <v>4100</v>
      </c>
      <c r="O76" s="169">
        <f t="shared" si="68"/>
        <v>4100</v>
      </c>
      <c r="P76" s="182"/>
      <c r="R76" s="190"/>
      <c r="S76" s="190"/>
      <c r="T76" s="190"/>
      <c r="U76" s="190"/>
      <c r="V76" s="190"/>
      <c r="W76" s="190"/>
    </row>
    <row r="77" spans="1:23" x14ac:dyDescent="0.2">
      <c r="A77" s="215" t="s">
        <v>49</v>
      </c>
      <c r="B77" s="174">
        <f>+'CCF ISR'!E11</f>
        <v>197808.93790641337</v>
      </c>
      <c r="C77" s="174">
        <f>+'CCF ISR'!F11</f>
        <v>197808.93790641337</v>
      </c>
      <c r="D77" s="174">
        <f>+'CCF ISR'!G11</f>
        <v>197808.93790641337</v>
      </c>
      <c r="E77" s="174">
        <f>+'CCF ISR'!H11</f>
        <v>231224.86710995319</v>
      </c>
      <c r="F77" s="174">
        <f>+'CCF ISR'!I11</f>
        <v>231224.86710995319</v>
      </c>
      <c r="G77" s="174">
        <f>+'CCF ISR'!J11</f>
        <v>247932.83171172309</v>
      </c>
      <c r="H77" s="174">
        <f>+'CCF ISR'!K11</f>
        <v>247932.83171172309</v>
      </c>
      <c r="I77" s="174">
        <f>+'CCF ISR'!L11</f>
        <v>569612.30746316817</v>
      </c>
      <c r="J77" s="174">
        <f>+'CCF ISR'!K11</f>
        <v>247932.83171172309</v>
      </c>
      <c r="K77" s="174">
        <f>+'CCF ISR'!K11</f>
        <v>247932.83171172309</v>
      </c>
      <c r="L77" s="174">
        <f>+'CCF ISR'!L11</f>
        <v>569612.30746316817</v>
      </c>
      <c r="M77" s="174">
        <f>+'CCF ISR'!M11</f>
        <v>258507.59258862253</v>
      </c>
      <c r="N77" s="174">
        <f>+'CCF ISR'!N11</f>
        <v>559456.63716814155</v>
      </c>
      <c r="O77" s="174">
        <f>+'CCF ISR'!O11</f>
        <v>257000</v>
      </c>
      <c r="P77" s="182"/>
      <c r="R77" s="190"/>
      <c r="S77" s="190"/>
      <c r="T77" s="190"/>
      <c r="U77" s="190"/>
      <c r="V77" s="190"/>
      <c r="W77" s="190"/>
    </row>
    <row r="78" spans="1:23" ht="12.75" thickBot="1" x14ac:dyDescent="0.25">
      <c r="A78" s="212" t="s">
        <v>50</v>
      </c>
      <c r="B78" s="174">
        <f>-'CCF ISR'!E14</f>
        <v>-1000</v>
      </c>
      <c r="C78" s="174">
        <f>-'CCF ISR'!F14</f>
        <v>-1000</v>
      </c>
      <c r="D78" s="174">
        <f>-'CCF ISR'!G14</f>
        <v>-1000</v>
      </c>
      <c r="E78" s="174">
        <f>-'CCF ISR'!H14</f>
        <v>-1000</v>
      </c>
      <c r="F78" s="174">
        <f>-'CCF ISR'!I14</f>
        <v>-1000</v>
      </c>
      <c r="G78" s="174">
        <f>-'CCF ISR'!J14</f>
        <v>-1000</v>
      </c>
      <c r="H78" s="174">
        <f>-'CCF ISR'!K14</f>
        <v>-39500</v>
      </c>
      <c r="I78" s="174">
        <f>-'CCF ISR'!L14</f>
        <v>-38500</v>
      </c>
      <c r="J78" s="174">
        <f>-'CCF ISR'!K14</f>
        <v>-39500</v>
      </c>
      <c r="K78" s="174">
        <f>-'CCF ISR'!K14</f>
        <v>-39500</v>
      </c>
      <c r="L78" s="174">
        <f>-'CCF ISR'!L14</f>
        <v>-38500</v>
      </c>
      <c r="M78" s="174">
        <f>-'CCF ISR'!M14</f>
        <v>-29000</v>
      </c>
      <c r="N78" s="174">
        <f>-'CCF ISR'!N14</f>
        <v>-230000</v>
      </c>
      <c r="O78" s="174">
        <f>-'CCF ISR'!O14</f>
        <v>-200000</v>
      </c>
      <c r="P78" s="182"/>
      <c r="R78" s="190"/>
      <c r="S78" s="190"/>
      <c r="T78" s="190"/>
      <c r="U78" s="190"/>
      <c r="V78" s="190"/>
      <c r="W78" s="190"/>
    </row>
    <row r="79" spans="1:23" ht="12.75" thickBot="1" x14ac:dyDescent="0.25">
      <c r="A79" s="182" t="s">
        <v>362</v>
      </c>
      <c r="B79" s="211">
        <f t="shared" ref="B79:G79" si="69">SUM(B73:B78)</f>
        <v>8220208.9379064133</v>
      </c>
      <c r="C79" s="211">
        <f t="shared" si="69"/>
        <v>8220208.9379064133</v>
      </c>
      <c r="D79" s="211">
        <f t="shared" si="69"/>
        <v>8220208.9379064133</v>
      </c>
      <c r="E79" s="211">
        <f t="shared" si="69"/>
        <v>8253624.8671099534</v>
      </c>
      <c r="F79" s="211">
        <f t="shared" si="69"/>
        <v>8253624.8671099534</v>
      </c>
      <c r="G79" s="211">
        <f t="shared" si="69"/>
        <v>8270332.8317117235</v>
      </c>
      <c r="H79" s="211">
        <f t="shared" ref="H79:I79" si="70">SUM(H73:H78)</f>
        <v>8231832.8317117235</v>
      </c>
      <c r="I79" s="211">
        <f t="shared" si="70"/>
        <v>8554512.3074631691</v>
      </c>
      <c r="J79" s="211">
        <f>SUM(J73:J78)</f>
        <v>8231832.8317117235</v>
      </c>
      <c r="K79" s="211">
        <f t="shared" ref="K79:O79" si="71">SUM(K73:K78)</f>
        <v>8231832.8317117235</v>
      </c>
      <c r="L79" s="211">
        <f t="shared" si="71"/>
        <v>8554512.3074631691</v>
      </c>
      <c r="M79" s="211">
        <f t="shared" si="71"/>
        <v>8252907.5925886221</v>
      </c>
      <c r="N79" s="211">
        <f t="shared" si="71"/>
        <v>8352856.6371681411</v>
      </c>
      <c r="O79" s="211">
        <f t="shared" si="71"/>
        <v>8080400</v>
      </c>
      <c r="P79" s="162"/>
      <c r="Q79" s="190"/>
      <c r="R79" s="190"/>
      <c r="S79" s="190"/>
      <c r="T79" s="190"/>
      <c r="U79" s="190"/>
      <c r="V79" s="190"/>
      <c r="W79" s="190"/>
    </row>
    <row r="80" spans="1:23" ht="13.5" thickTop="1" thickBot="1" x14ac:dyDescent="0.25">
      <c r="A80" s="212" t="s">
        <v>363</v>
      </c>
      <c r="B80" s="210"/>
      <c r="C80" s="210"/>
      <c r="D80" s="210"/>
      <c r="E80" s="210"/>
      <c r="F80" s="210"/>
      <c r="G80" s="210"/>
      <c r="H80" s="210"/>
      <c r="I80" s="210"/>
      <c r="J80" s="210"/>
      <c r="K80" s="210"/>
      <c r="L80" s="210"/>
      <c r="M80" s="210"/>
      <c r="N80" s="210"/>
      <c r="O80" s="210"/>
      <c r="P80" s="162"/>
      <c r="Q80" s="190"/>
      <c r="R80" s="190"/>
      <c r="S80" s="190"/>
      <c r="T80" s="190"/>
      <c r="U80" s="190"/>
      <c r="V80" s="190"/>
      <c r="W80" s="190"/>
    </row>
    <row r="81" spans="1:23" ht="12.75" thickBot="1" x14ac:dyDescent="0.25">
      <c r="A81" s="213"/>
      <c r="B81" s="214">
        <f t="shared" ref="B81:I81" si="72">+B72</f>
        <v>2017</v>
      </c>
      <c r="C81" s="214">
        <f t="shared" si="72"/>
        <v>2016</v>
      </c>
      <c r="D81" s="214">
        <f t="shared" si="72"/>
        <v>2015</v>
      </c>
      <c r="E81" s="214">
        <f t="shared" si="72"/>
        <v>2014</v>
      </c>
      <c r="F81" s="214">
        <f t="shared" si="72"/>
        <v>2013</v>
      </c>
      <c r="G81" s="214">
        <f t="shared" si="72"/>
        <v>2012</v>
      </c>
      <c r="H81" s="214">
        <f t="shared" si="72"/>
        <v>2011</v>
      </c>
      <c r="I81" s="214">
        <f t="shared" si="72"/>
        <v>2010</v>
      </c>
      <c r="J81" s="214">
        <f>+J72</f>
        <v>2009</v>
      </c>
      <c r="K81" s="214">
        <f t="shared" ref="K81:O81" si="73">+K72</f>
        <v>2008</v>
      </c>
      <c r="L81" s="214">
        <f t="shared" si="73"/>
        <v>2007</v>
      </c>
      <c r="M81" s="214">
        <f t="shared" si="73"/>
        <v>2006</v>
      </c>
      <c r="N81" s="214">
        <f t="shared" si="73"/>
        <v>2005</v>
      </c>
      <c r="O81" s="214">
        <f t="shared" si="73"/>
        <v>2004</v>
      </c>
      <c r="P81" s="162"/>
      <c r="Q81" s="190"/>
      <c r="R81" s="190"/>
      <c r="S81" s="190"/>
      <c r="T81" s="190"/>
      <c r="U81" s="190"/>
      <c r="V81" s="190"/>
      <c r="W81" s="190"/>
    </row>
    <row r="82" spans="1:23" x14ac:dyDescent="0.2">
      <c r="A82" s="155" t="s">
        <v>300</v>
      </c>
      <c r="B82" s="169">
        <f t="shared" ref="B82:G82" si="74">-B8</f>
        <v>51000</v>
      </c>
      <c r="C82" s="169">
        <f t="shared" si="74"/>
        <v>51000</v>
      </c>
      <c r="D82" s="169">
        <f t="shared" si="74"/>
        <v>51000</v>
      </c>
      <c r="E82" s="169">
        <f t="shared" si="74"/>
        <v>51000</v>
      </c>
      <c r="F82" s="169">
        <f t="shared" si="74"/>
        <v>51000</v>
      </c>
      <c r="G82" s="169">
        <f t="shared" si="74"/>
        <v>51000</v>
      </c>
      <c r="H82" s="169">
        <f t="shared" ref="H82:O82" si="75">-H8</f>
        <v>51000</v>
      </c>
      <c r="I82" s="169">
        <f t="shared" si="75"/>
        <v>51000</v>
      </c>
      <c r="J82" s="169">
        <f t="shared" si="75"/>
        <v>51000</v>
      </c>
      <c r="K82" s="169">
        <f t="shared" si="75"/>
        <v>51000</v>
      </c>
      <c r="L82" s="169">
        <f t="shared" si="75"/>
        <v>51000</v>
      </c>
      <c r="M82" s="169">
        <f t="shared" si="75"/>
        <v>51000</v>
      </c>
      <c r="N82" s="169">
        <f t="shared" si="75"/>
        <v>51000</v>
      </c>
      <c r="O82" s="169">
        <f t="shared" si="75"/>
        <v>51000</v>
      </c>
      <c r="P82" s="162"/>
      <c r="Q82" s="190"/>
      <c r="R82" s="190"/>
      <c r="S82" s="190"/>
      <c r="T82" s="190"/>
      <c r="U82" s="190"/>
      <c r="V82" s="190"/>
      <c r="W82" s="190"/>
    </row>
    <row r="83" spans="1:23" x14ac:dyDescent="0.2">
      <c r="A83" s="155" t="s">
        <v>301</v>
      </c>
      <c r="B83" s="169">
        <f t="shared" ref="B83:G83" si="76">-B9</f>
        <v>53000</v>
      </c>
      <c r="C83" s="169">
        <f t="shared" si="76"/>
        <v>53000</v>
      </c>
      <c r="D83" s="169">
        <f t="shared" si="76"/>
        <v>53000</v>
      </c>
      <c r="E83" s="169">
        <f t="shared" si="76"/>
        <v>53000</v>
      </c>
      <c r="F83" s="169">
        <f t="shared" si="76"/>
        <v>53000</v>
      </c>
      <c r="G83" s="169">
        <f t="shared" si="76"/>
        <v>53000</v>
      </c>
      <c r="H83" s="169">
        <f t="shared" ref="H83:O83" si="77">-H9</f>
        <v>53000</v>
      </c>
      <c r="I83" s="169">
        <f t="shared" si="77"/>
        <v>53000</v>
      </c>
      <c r="J83" s="169">
        <f t="shared" si="77"/>
        <v>53000</v>
      </c>
      <c r="K83" s="169">
        <f t="shared" si="77"/>
        <v>53000</v>
      </c>
      <c r="L83" s="169">
        <f t="shared" si="77"/>
        <v>53000</v>
      </c>
      <c r="M83" s="169">
        <f t="shared" si="77"/>
        <v>53000</v>
      </c>
      <c r="N83" s="169">
        <f t="shared" si="77"/>
        <v>53000</v>
      </c>
      <c r="O83" s="169">
        <f t="shared" si="77"/>
        <v>53000</v>
      </c>
      <c r="P83" s="162"/>
      <c r="Q83" s="190"/>
      <c r="R83" s="190"/>
      <c r="S83" s="190"/>
      <c r="T83" s="190"/>
      <c r="U83" s="190"/>
      <c r="V83" s="190"/>
      <c r="W83" s="190"/>
    </row>
    <row r="84" spans="1:23" x14ac:dyDescent="0.2">
      <c r="A84" s="155" t="s">
        <v>302</v>
      </c>
      <c r="B84" s="169">
        <f t="shared" ref="B84:G84" si="78">-B10</f>
        <v>53000</v>
      </c>
      <c r="C84" s="169">
        <f t="shared" si="78"/>
        <v>53000</v>
      </c>
      <c r="D84" s="169">
        <f t="shared" si="78"/>
        <v>53000</v>
      </c>
      <c r="E84" s="169">
        <f t="shared" si="78"/>
        <v>53000</v>
      </c>
      <c r="F84" s="169">
        <f t="shared" si="78"/>
        <v>53000</v>
      </c>
      <c r="G84" s="169">
        <f t="shared" si="78"/>
        <v>53000</v>
      </c>
      <c r="H84" s="169">
        <f t="shared" ref="H84:O84" si="79">-H10</f>
        <v>53000</v>
      </c>
      <c r="I84" s="169">
        <f t="shared" si="79"/>
        <v>53000</v>
      </c>
      <c r="J84" s="169">
        <f t="shared" si="79"/>
        <v>53000</v>
      </c>
      <c r="K84" s="169">
        <f t="shared" si="79"/>
        <v>53000</v>
      </c>
      <c r="L84" s="169">
        <f t="shared" si="79"/>
        <v>53000</v>
      </c>
      <c r="M84" s="169">
        <f t="shared" si="79"/>
        <v>53000</v>
      </c>
      <c r="N84" s="169">
        <f t="shared" si="79"/>
        <v>53000</v>
      </c>
      <c r="O84" s="169">
        <f t="shared" si="79"/>
        <v>53000</v>
      </c>
      <c r="P84" s="162"/>
      <c r="Q84" s="190"/>
      <c r="R84" s="190"/>
      <c r="S84" s="190"/>
      <c r="T84" s="190"/>
      <c r="U84" s="190"/>
      <c r="V84" s="190"/>
      <c r="W84" s="190"/>
    </row>
    <row r="85" spans="1:23" x14ac:dyDescent="0.2">
      <c r="A85" s="155" t="s">
        <v>409</v>
      </c>
      <c r="B85" s="169">
        <f t="shared" ref="B85:G85" si="80">+B24</f>
        <v>6713000</v>
      </c>
      <c r="C85" s="169">
        <f t="shared" si="80"/>
        <v>6713000</v>
      </c>
      <c r="D85" s="169">
        <f t="shared" si="80"/>
        <v>6713000</v>
      </c>
      <c r="E85" s="169">
        <f t="shared" si="80"/>
        <v>6713000</v>
      </c>
      <c r="F85" s="169">
        <f t="shared" si="80"/>
        <v>6713000</v>
      </c>
      <c r="G85" s="169">
        <f t="shared" si="80"/>
        <v>6713000</v>
      </c>
      <c r="H85" s="169">
        <f t="shared" ref="H85:O85" si="81">+H24</f>
        <v>6713000</v>
      </c>
      <c r="I85" s="169">
        <f t="shared" si="81"/>
        <v>6713000</v>
      </c>
      <c r="J85" s="169">
        <f t="shared" si="81"/>
        <v>6713000</v>
      </c>
      <c r="K85" s="169">
        <f t="shared" si="81"/>
        <v>6713000</v>
      </c>
      <c r="L85" s="169">
        <f t="shared" si="81"/>
        <v>6713000</v>
      </c>
      <c r="M85" s="169">
        <f t="shared" si="81"/>
        <v>6713000</v>
      </c>
      <c r="N85" s="169">
        <f t="shared" si="81"/>
        <v>6713000</v>
      </c>
      <c r="O85" s="169">
        <f t="shared" si="81"/>
        <v>6433000</v>
      </c>
      <c r="P85" s="162"/>
      <c r="Q85" s="190"/>
      <c r="R85" s="190"/>
      <c r="S85" s="190"/>
      <c r="T85" s="190"/>
      <c r="U85" s="190"/>
      <c r="V85" s="190"/>
      <c r="W85" s="190"/>
    </row>
    <row r="86" spans="1:23" x14ac:dyDescent="0.2">
      <c r="A86" s="155" t="s">
        <v>314</v>
      </c>
      <c r="B86" s="169">
        <f t="shared" ref="B86:G86" si="82">+B28</f>
        <v>137000</v>
      </c>
      <c r="C86" s="169">
        <f t="shared" si="82"/>
        <v>137000</v>
      </c>
      <c r="D86" s="169">
        <f t="shared" si="82"/>
        <v>137000</v>
      </c>
      <c r="E86" s="169">
        <f t="shared" si="82"/>
        <v>137000</v>
      </c>
      <c r="F86" s="169">
        <f t="shared" si="82"/>
        <v>137000</v>
      </c>
      <c r="G86" s="169">
        <f t="shared" si="82"/>
        <v>137000</v>
      </c>
      <c r="H86" s="169">
        <f t="shared" ref="H86:O86" si="83">+H28</f>
        <v>137000</v>
      </c>
      <c r="I86" s="169">
        <f t="shared" si="83"/>
        <v>137000</v>
      </c>
      <c r="J86" s="169">
        <f t="shared" si="83"/>
        <v>137000</v>
      </c>
      <c r="K86" s="169">
        <f t="shared" si="83"/>
        <v>137000</v>
      </c>
      <c r="L86" s="169">
        <f t="shared" si="83"/>
        <v>137000</v>
      </c>
      <c r="M86" s="169">
        <f t="shared" si="83"/>
        <v>137000</v>
      </c>
      <c r="N86" s="169">
        <f t="shared" si="83"/>
        <v>137000</v>
      </c>
      <c r="O86" s="169">
        <f t="shared" si="83"/>
        <v>137000</v>
      </c>
      <c r="P86" s="162"/>
      <c r="Q86" s="190"/>
      <c r="R86" s="190"/>
      <c r="S86" s="190"/>
      <c r="T86" s="190"/>
      <c r="U86" s="190"/>
      <c r="V86" s="190"/>
      <c r="W86" s="190"/>
    </row>
    <row r="87" spans="1:23" x14ac:dyDescent="0.2">
      <c r="A87" s="155" t="s">
        <v>315</v>
      </c>
      <c r="B87" s="169">
        <f t="shared" ref="B87:G87" si="84">+B29</f>
        <v>341000</v>
      </c>
      <c r="C87" s="169">
        <f t="shared" si="84"/>
        <v>341000</v>
      </c>
      <c r="D87" s="169">
        <f t="shared" si="84"/>
        <v>341000</v>
      </c>
      <c r="E87" s="169">
        <f t="shared" si="84"/>
        <v>341000</v>
      </c>
      <c r="F87" s="169">
        <f t="shared" si="84"/>
        <v>341000</v>
      </c>
      <c r="G87" s="169">
        <f t="shared" si="84"/>
        <v>341000</v>
      </c>
      <c r="H87" s="169">
        <f t="shared" ref="H87:O87" si="85">+H29</f>
        <v>341000</v>
      </c>
      <c r="I87" s="169">
        <f t="shared" si="85"/>
        <v>341000</v>
      </c>
      <c r="J87" s="169">
        <f t="shared" si="85"/>
        <v>341000</v>
      </c>
      <c r="K87" s="169">
        <f t="shared" si="85"/>
        <v>341000</v>
      </c>
      <c r="L87" s="169">
        <f t="shared" si="85"/>
        <v>341000</v>
      </c>
      <c r="M87" s="169">
        <f t="shared" si="85"/>
        <v>341000</v>
      </c>
      <c r="N87" s="169">
        <f t="shared" si="85"/>
        <v>341000</v>
      </c>
      <c r="O87" s="169">
        <f t="shared" si="85"/>
        <v>341000</v>
      </c>
      <c r="P87" s="162"/>
      <c r="Q87" s="190"/>
      <c r="R87" s="190"/>
      <c r="S87" s="190"/>
      <c r="T87" s="190"/>
      <c r="U87" s="190"/>
      <c r="V87" s="190"/>
      <c r="W87" s="190"/>
    </row>
    <row r="88" spans="1:23" x14ac:dyDescent="0.2">
      <c r="A88" s="155" t="s">
        <v>45</v>
      </c>
      <c r="B88" s="169">
        <f t="shared" ref="B88:G88" si="86">-B33</f>
        <v>14000</v>
      </c>
      <c r="C88" s="169">
        <f t="shared" si="86"/>
        <v>14000</v>
      </c>
      <c r="D88" s="169">
        <f t="shared" si="86"/>
        <v>14000</v>
      </c>
      <c r="E88" s="169">
        <f t="shared" si="86"/>
        <v>14000</v>
      </c>
      <c r="F88" s="169">
        <f t="shared" si="86"/>
        <v>14000</v>
      </c>
      <c r="G88" s="169">
        <f t="shared" si="86"/>
        <v>14000</v>
      </c>
      <c r="H88" s="169">
        <f t="shared" ref="H88:O88" si="87">-H33</f>
        <v>14000</v>
      </c>
      <c r="I88" s="169">
        <f t="shared" si="87"/>
        <v>14000</v>
      </c>
      <c r="J88" s="169">
        <f t="shared" si="87"/>
        <v>14000</v>
      </c>
      <c r="K88" s="169">
        <f t="shared" si="87"/>
        <v>14000</v>
      </c>
      <c r="L88" s="169">
        <f t="shared" si="87"/>
        <v>14000</v>
      </c>
      <c r="M88" s="169">
        <f t="shared" si="87"/>
        <v>14000</v>
      </c>
      <c r="N88" s="169">
        <f t="shared" si="87"/>
        <v>14000</v>
      </c>
      <c r="O88" s="169">
        <f t="shared" si="87"/>
        <v>14000</v>
      </c>
      <c r="P88" s="162"/>
      <c r="Q88" s="190"/>
      <c r="R88" s="190"/>
      <c r="S88" s="190"/>
      <c r="T88" s="190"/>
      <c r="U88" s="190"/>
      <c r="V88" s="190"/>
      <c r="W88" s="190"/>
    </row>
    <row r="89" spans="1:23" x14ac:dyDescent="0.2">
      <c r="A89" s="155" t="s">
        <v>237</v>
      </c>
      <c r="B89" s="169">
        <f t="shared" ref="B89:G89" si="88">-B34</f>
        <v>630</v>
      </c>
      <c r="C89" s="169">
        <f t="shared" si="88"/>
        <v>630</v>
      </c>
      <c r="D89" s="169">
        <f t="shared" si="88"/>
        <v>630</v>
      </c>
      <c r="E89" s="169">
        <f t="shared" si="88"/>
        <v>630</v>
      </c>
      <c r="F89" s="169">
        <f t="shared" si="88"/>
        <v>630</v>
      </c>
      <c r="G89" s="169">
        <f t="shared" si="88"/>
        <v>630</v>
      </c>
      <c r="H89" s="169">
        <f t="shared" ref="H89:O89" si="89">-H34</f>
        <v>630</v>
      </c>
      <c r="I89" s="169">
        <f t="shared" si="89"/>
        <v>630</v>
      </c>
      <c r="J89" s="169">
        <f t="shared" si="89"/>
        <v>630</v>
      </c>
      <c r="K89" s="169">
        <f t="shared" si="89"/>
        <v>630</v>
      </c>
      <c r="L89" s="169">
        <f t="shared" si="89"/>
        <v>630</v>
      </c>
      <c r="M89" s="169">
        <f t="shared" si="89"/>
        <v>630</v>
      </c>
      <c r="N89" s="169">
        <f t="shared" si="89"/>
        <v>630</v>
      </c>
      <c r="O89" s="169">
        <f t="shared" si="89"/>
        <v>630</v>
      </c>
      <c r="P89" s="162"/>
      <c r="Q89" s="190"/>
      <c r="R89" s="190"/>
      <c r="S89" s="190"/>
      <c r="T89" s="190"/>
      <c r="U89" s="190"/>
      <c r="V89" s="190"/>
      <c r="W89" s="190"/>
    </row>
    <row r="90" spans="1:23" x14ac:dyDescent="0.2">
      <c r="A90" s="155" t="s">
        <v>410</v>
      </c>
      <c r="B90" s="169">
        <f t="shared" ref="B90:G90" si="90">-B39</f>
        <v>7100</v>
      </c>
      <c r="C90" s="169">
        <f t="shared" si="90"/>
        <v>7100</v>
      </c>
      <c r="D90" s="169">
        <f t="shared" si="90"/>
        <v>7100</v>
      </c>
      <c r="E90" s="169">
        <f t="shared" si="90"/>
        <v>7100</v>
      </c>
      <c r="F90" s="169">
        <f t="shared" si="90"/>
        <v>7100</v>
      </c>
      <c r="G90" s="169">
        <f t="shared" si="90"/>
        <v>7100</v>
      </c>
      <c r="H90" s="169">
        <f t="shared" ref="H90:O90" si="91">-H39</f>
        <v>7100</v>
      </c>
      <c r="I90" s="169">
        <f t="shared" si="91"/>
        <v>7100</v>
      </c>
      <c r="J90" s="169">
        <f t="shared" si="91"/>
        <v>7100</v>
      </c>
      <c r="K90" s="169">
        <f t="shared" si="91"/>
        <v>7100</v>
      </c>
      <c r="L90" s="169">
        <f t="shared" si="91"/>
        <v>7100</v>
      </c>
      <c r="M90" s="169">
        <f t="shared" si="91"/>
        <v>7100</v>
      </c>
      <c r="N90" s="169">
        <f t="shared" si="91"/>
        <v>7100</v>
      </c>
      <c r="O90" s="169">
        <f t="shared" si="91"/>
        <v>7100</v>
      </c>
      <c r="P90" s="162"/>
      <c r="Q90" s="190"/>
      <c r="R90" s="190"/>
      <c r="S90" s="190"/>
      <c r="T90" s="190"/>
      <c r="U90" s="190"/>
      <c r="V90" s="190"/>
      <c r="W90" s="190"/>
    </row>
    <row r="91" spans="1:23" x14ac:dyDescent="0.2">
      <c r="A91" s="155" t="s">
        <v>98</v>
      </c>
      <c r="B91" s="169">
        <f t="shared" ref="B91:G91" si="92">SUM(B46:B50)</f>
        <v>226860</v>
      </c>
      <c r="C91" s="169">
        <f t="shared" si="92"/>
        <v>214350</v>
      </c>
      <c r="D91" s="169">
        <f t="shared" si="92"/>
        <v>214350</v>
      </c>
      <c r="E91" s="169">
        <f t="shared" si="92"/>
        <v>214350</v>
      </c>
      <c r="F91" s="169">
        <f t="shared" si="92"/>
        <v>214350</v>
      </c>
      <c r="G91" s="169">
        <f t="shared" si="92"/>
        <v>214350</v>
      </c>
      <c r="H91" s="169">
        <f t="shared" ref="H91:O91" si="93">SUM(H46:H50)</f>
        <v>190182</v>
      </c>
      <c r="I91" s="169">
        <f t="shared" si="93"/>
        <v>318310</v>
      </c>
      <c r="J91" s="169">
        <f t="shared" si="93"/>
        <v>0</v>
      </c>
      <c r="K91" s="169">
        <f t="shared" si="93"/>
        <v>0</v>
      </c>
      <c r="L91" s="169">
        <f t="shared" si="93"/>
        <v>0</v>
      </c>
      <c r="M91" s="169">
        <f t="shared" si="93"/>
        <v>62679</v>
      </c>
      <c r="N91" s="169">
        <f t="shared" si="93"/>
        <v>0</v>
      </c>
      <c r="O91" s="169">
        <f t="shared" si="93"/>
        <v>196000</v>
      </c>
      <c r="P91" s="162"/>
      <c r="Q91" s="190"/>
      <c r="R91" s="190"/>
      <c r="S91" s="190"/>
      <c r="T91" s="190"/>
      <c r="U91" s="190"/>
      <c r="V91" s="190"/>
      <c r="W91" s="190"/>
    </row>
    <row r="92" spans="1:23" x14ac:dyDescent="0.2">
      <c r="A92" s="173" t="s">
        <v>97</v>
      </c>
      <c r="B92" s="169">
        <f t="shared" ref="B92:G92" si="94">-B43</f>
        <v>-550</v>
      </c>
      <c r="C92" s="169">
        <f t="shared" si="94"/>
        <v>-550</v>
      </c>
      <c r="D92" s="169">
        <f t="shared" si="94"/>
        <v>-550</v>
      </c>
      <c r="E92" s="169">
        <f t="shared" si="94"/>
        <v>-550</v>
      </c>
      <c r="F92" s="169">
        <f t="shared" si="94"/>
        <v>-550</v>
      </c>
      <c r="G92" s="169">
        <f t="shared" si="94"/>
        <v>-550</v>
      </c>
      <c r="H92" s="169">
        <f t="shared" ref="H92:O92" si="95">-H43</f>
        <v>-550</v>
      </c>
      <c r="I92" s="169">
        <f t="shared" si="95"/>
        <v>-550</v>
      </c>
      <c r="J92" s="169">
        <f t="shared" si="95"/>
        <v>-550</v>
      </c>
      <c r="K92" s="169">
        <f t="shared" si="95"/>
        <v>-550</v>
      </c>
      <c r="L92" s="169">
        <f t="shared" si="95"/>
        <v>-550</v>
      </c>
      <c r="M92" s="169">
        <f t="shared" si="95"/>
        <v>-550</v>
      </c>
      <c r="N92" s="169">
        <f t="shared" si="95"/>
        <v>-550</v>
      </c>
      <c r="O92" s="169">
        <f t="shared" si="95"/>
        <v>-550</v>
      </c>
      <c r="P92" s="162"/>
      <c r="Q92" s="190"/>
      <c r="R92" s="190"/>
      <c r="S92" s="190"/>
      <c r="T92" s="190"/>
      <c r="U92" s="190"/>
      <c r="V92" s="190"/>
      <c r="W92" s="190"/>
    </row>
    <row r="93" spans="1:23" x14ac:dyDescent="0.2">
      <c r="A93" s="156" t="s">
        <v>48</v>
      </c>
      <c r="B93" s="174">
        <f>+'CCF ISR'!B96</f>
        <v>663336.62109160039</v>
      </c>
      <c r="C93" s="174">
        <f>+'CCF ISR'!C96</f>
        <v>650177.30887123069</v>
      </c>
      <c r="D93" s="174">
        <f>+'CCF ISR'!D96</f>
        <v>647820.85332399583</v>
      </c>
      <c r="E93" s="174">
        <f>+'CCF ISR'!E96</f>
        <v>657255.41690489626</v>
      </c>
      <c r="F93" s="174">
        <f>+'CCF ISR'!F96</f>
        <v>642600.92728694435</v>
      </c>
      <c r="G93" s="174">
        <f>+'CCF ISR'!G96</f>
        <v>640782.72728694428</v>
      </c>
      <c r="H93" s="174">
        <f>+'CCF ISR'!H96</f>
        <v>678992.17486208898</v>
      </c>
      <c r="I93" s="174">
        <f>+'CCF ISR'!I96</f>
        <v>633993.32728694426</v>
      </c>
      <c r="J93" s="174">
        <f>+'CCF ISR'!J96</f>
        <v>633993.32728694426</v>
      </c>
      <c r="K93" s="174">
        <f>+'CCF ISR'!K96</f>
        <v>693407.97486208891</v>
      </c>
      <c r="L93" s="174">
        <f>+'CCF ISR'!L96</f>
        <v>629498.09562249866</v>
      </c>
      <c r="M93" s="174">
        <f>+'CCF ISR'!M96</f>
        <v>736509.30395651842</v>
      </c>
      <c r="N93" s="174">
        <f>+'CCF ISR'!N96</f>
        <v>624821.75188065786</v>
      </c>
      <c r="O93" s="174">
        <f>+'CCF ISR'!O96</f>
        <v>7432887</v>
      </c>
      <c r="P93" s="162"/>
      <c r="Q93" s="190"/>
      <c r="R93" s="190"/>
      <c r="S93" s="190"/>
      <c r="T93" s="190"/>
      <c r="U93" s="190"/>
      <c r="V93" s="190"/>
      <c r="W93" s="190"/>
    </row>
    <row r="94" spans="1:23" ht="12.75" thickBot="1" x14ac:dyDescent="0.25">
      <c r="A94" s="919" t="s">
        <v>47</v>
      </c>
      <c r="B94" s="174">
        <f>-'CCF ISR'!B70</f>
        <v>-679029</v>
      </c>
      <c r="C94" s="174">
        <f>-'CCF ISR'!C70</f>
        <v>-655926</v>
      </c>
      <c r="D94" s="174">
        <f>-'CCF ISR'!D70</f>
        <v>-655926</v>
      </c>
      <c r="E94" s="174">
        <f>-'CCF ISR'!E70</f>
        <v>-655926</v>
      </c>
      <c r="F94" s="174">
        <f>-'CCF ISR'!F70</f>
        <v>-655926</v>
      </c>
      <c r="G94" s="174">
        <f>-'CCF ISR'!G70</f>
        <v>-655926</v>
      </c>
      <c r="H94" s="174">
        <f>-'CCF ISR'!H70</f>
        <v>-652076</v>
      </c>
      <c r="I94" s="174">
        <f>-'CCF ISR'!I70</f>
        <v>-839619</v>
      </c>
      <c r="J94" s="174">
        <f>-'CCF ISR'!J70</f>
        <v>-394000</v>
      </c>
      <c r="K94" s="174">
        <f>-'CCF ISR'!K70</f>
        <v>-394000</v>
      </c>
      <c r="L94" s="174">
        <f>-'CCF ISR'!L70</f>
        <v>-653467</v>
      </c>
      <c r="M94" s="174">
        <f>-'CCF ISR'!M70</f>
        <v>-581796</v>
      </c>
      <c r="N94" s="174">
        <f>-'CCF ISR'!N70</f>
        <v>-646708</v>
      </c>
      <c r="O94" s="174">
        <f>-'CCF ISR'!O70</f>
        <v>-7011000</v>
      </c>
      <c r="P94" s="162"/>
      <c r="Q94" s="190"/>
      <c r="R94" s="190"/>
      <c r="S94" s="190"/>
      <c r="T94" s="190"/>
      <c r="U94" s="190"/>
      <c r="V94" s="190"/>
      <c r="W94" s="190"/>
    </row>
    <row r="95" spans="1:23" ht="12.75" thickBot="1" x14ac:dyDescent="0.25">
      <c r="A95" s="182"/>
      <c r="B95" s="211">
        <f t="shared" ref="B95:G95" si="96">SUM(B82:B94)</f>
        <v>7580347.6210916005</v>
      </c>
      <c r="C95" s="211">
        <f t="shared" si="96"/>
        <v>7577781.308871231</v>
      </c>
      <c r="D95" s="211">
        <f t="shared" si="96"/>
        <v>7575424.8533239961</v>
      </c>
      <c r="E95" s="211">
        <f t="shared" si="96"/>
        <v>7584859.4169048965</v>
      </c>
      <c r="F95" s="211">
        <f t="shared" si="96"/>
        <v>7570204.9272869444</v>
      </c>
      <c r="G95" s="211">
        <f t="shared" si="96"/>
        <v>7568386.7272869442</v>
      </c>
      <c r="H95" s="211">
        <f t="shared" ref="H95:I95" si="97">SUM(H82:H94)</f>
        <v>7586278.1748620886</v>
      </c>
      <c r="I95" s="211">
        <f t="shared" si="97"/>
        <v>7481864.3272869438</v>
      </c>
      <c r="J95" s="211">
        <f>SUM(J82:J94)</f>
        <v>7609173.3272869438</v>
      </c>
      <c r="K95" s="211">
        <f t="shared" ref="K95:O95" si="98">SUM(K82:K94)</f>
        <v>7668587.9748620894</v>
      </c>
      <c r="L95" s="211">
        <f t="shared" si="98"/>
        <v>7345211.0956224985</v>
      </c>
      <c r="M95" s="211">
        <f t="shared" si="98"/>
        <v>7586572.3039565179</v>
      </c>
      <c r="N95" s="211">
        <f t="shared" si="98"/>
        <v>7347293.7518806579</v>
      </c>
      <c r="O95" s="211">
        <f t="shared" si="98"/>
        <v>7707067</v>
      </c>
      <c r="P95" s="162"/>
      <c r="Q95" s="190"/>
      <c r="R95" s="190"/>
      <c r="S95" s="190"/>
      <c r="T95" s="190"/>
      <c r="U95" s="190"/>
      <c r="V95" s="190"/>
      <c r="W95" s="190"/>
    </row>
    <row r="96" spans="1:23" ht="13.5" thickTop="1" thickBot="1" x14ac:dyDescent="0.25">
      <c r="A96" s="215" t="s">
        <v>52</v>
      </c>
      <c r="B96" s="182"/>
      <c r="C96" s="182"/>
      <c r="D96" s="182"/>
      <c r="E96" s="182"/>
      <c r="F96" s="182"/>
      <c r="G96" s="182"/>
      <c r="H96" s="182"/>
      <c r="I96" s="182"/>
      <c r="J96" s="182"/>
      <c r="K96" s="182"/>
      <c r="L96" s="182"/>
      <c r="M96" s="182"/>
      <c r="N96" s="182"/>
      <c r="O96" s="182"/>
      <c r="P96" s="162"/>
      <c r="Q96" s="190"/>
      <c r="R96" s="190"/>
      <c r="S96" s="190"/>
      <c r="T96" s="190"/>
      <c r="U96" s="190"/>
      <c r="V96" s="190"/>
      <c r="W96" s="190"/>
    </row>
    <row r="97" spans="1:23" ht="12.75" thickBot="1" x14ac:dyDescent="0.25">
      <c r="A97" s="207"/>
      <c r="B97" s="208">
        <f t="shared" ref="B97:I97" si="99">+B81</f>
        <v>2017</v>
      </c>
      <c r="C97" s="208">
        <f t="shared" si="99"/>
        <v>2016</v>
      </c>
      <c r="D97" s="208">
        <f t="shared" si="99"/>
        <v>2015</v>
      </c>
      <c r="E97" s="208">
        <f t="shared" si="99"/>
        <v>2014</v>
      </c>
      <c r="F97" s="208">
        <f t="shared" si="99"/>
        <v>2013</v>
      </c>
      <c r="G97" s="208">
        <f t="shared" si="99"/>
        <v>2012</v>
      </c>
      <c r="H97" s="208">
        <f t="shared" si="99"/>
        <v>2011</v>
      </c>
      <c r="I97" s="208">
        <f t="shared" si="99"/>
        <v>2010</v>
      </c>
      <c r="J97" s="208">
        <f>+J81</f>
        <v>2009</v>
      </c>
      <c r="K97" s="208">
        <f t="shared" ref="K97:O97" si="100">+K81</f>
        <v>2008</v>
      </c>
      <c r="L97" s="208">
        <f t="shared" si="100"/>
        <v>2007</v>
      </c>
      <c r="M97" s="208">
        <f t="shared" si="100"/>
        <v>2006</v>
      </c>
      <c r="N97" s="208">
        <f t="shared" si="100"/>
        <v>2005</v>
      </c>
      <c r="O97" s="208">
        <f t="shared" si="100"/>
        <v>2004</v>
      </c>
      <c r="P97" s="162"/>
      <c r="Q97" s="190"/>
      <c r="R97" s="190"/>
      <c r="S97" s="190"/>
      <c r="T97" s="190"/>
      <c r="U97" s="190"/>
      <c r="V97" s="190"/>
      <c r="W97" s="190"/>
    </row>
    <row r="98" spans="1:23" x14ac:dyDescent="0.2">
      <c r="A98" s="216" t="s">
        <v>91</v>
      </c>
      <c r="B98" s="193">
        <f t="shared" ref="B98:G98" si="101">+B61</f>
        <v>639861.31681481283</v>
      </c>
      <c r="C98" s="193">
        <f t="shared" si="101"/>
        <v>642427.6290351823</v>
      </c>
      <c r="D98" s="193">
        <f t="shared" si="101"/>
        <v>644784.08458241727</v>
      </c>
      <c r="E98" s="193">
        <f t="shared" si="101"/>
        <v>668765.45020505693</v>
      </c>
      <c r="F98" s="193">
        <f t="shared" si="101"/>
        <v>683419.93982300907</v>
      </c>
      <c r="G98" s="193">
        <f t="shared" si="101"/>
        <v>701946.1044247793</v>
      </c>
      <c r="H98" s="193">
        <f t="shared" ref="H98:I98" si="102">+H61</f>
        <v>645554.65684963483</v>
      </c>
      <c r="I98" s="193">
        <f t="shared" si="102"/>
        <v>1072647.9801762253</v>
      </c>
      <c r="J98" s="193">
        <f>+J61</f>
        <v>622659.50442477968</v>
      </c>
      <c r="K98" s="193">
        <f t="shared" ref="K98:O98" si="103">+K61</f>
        <v>563244.85684963409</v>
      </c>
      <c r="L98" s="193">
        <f t="shared" si="103"/>
        <v>1209301.2118406706</v>
      </c>
      <c r="M98" s="193">
        <f t="shared" si="103"/>
        <v>666335.28863210417</v>
      </c>
      <c r="N98" s="193">
        <f t="shared" si="103"/>
        <v>1005562.8852874832</v>
      </c>
      <c r="O98" s="193">
        <f t="shared" si="103"/>
        <v>373333</v>
      </c>
      <c r="P98" s="162"/>
      <c r="Q98" s="190"/>
      <c r="R98" s="190"/>
      <c r="S98" s="190"/>
      <c r="T98" s="190"/>
      <c r="U98" s="190"/>
      <c r="V98" s="190"/>
      <c r="W98" s="190"/>
    </row>
    <row r="99" spans="1:23" x14ac:dyDescent="0.2">
      <c r="A99" s="217" t="s">
        <v>51</v>
      </c>
      <c r="B99" s="193">
        <f>+'CCF ISR'!B35</f>
        <v>0</v>
      </c>
      <c r="C99" s="193">
        <f>+'CCF ISR'!C35</f>
        <v>0</v>
      </c>
      <c r="D99" s="193">
        <f>+'CCF ISR'!D35</f>
        <v>0</v>
      </c>
      <c r="E99" s="193">
        <f>+'CCF ISR'!E35</f>
        <v>0</v>
      </c>
      <c r="F99" s="193">
        <f>+'CCF ISR'!F35</f>
        <v>0</v>
      </c>
      <c r="G99" s="193">
        <f>+'CCF ISR'!G35</f>
        <v>0</v>
      </c>
      <c r="H99" s="193">
        <f>+'CCF ISR'!H35</f>
        <v>33415.929203539825</v>
      </c>
      <c r="I99" s="193">
        <f>+'CCF ISR'!I35</f>
        <v>33415.929203539825</v>
      </c>
      <c r="J99" s="193">
        <f>+'CCF ISR'!J35</f>
        <v>50123.893805309737</v>
      </c>
      <c r="K99" s="193">
        <f>+'CCF ISR'!K35</f>
        <v>50123.893805309737</v>
      </c>
      <c r="L99" s="193">
        <f>+'CCF ISR'!L35</f>
        <v>75185.840707964613</v>
      </c>
      <c r="M99" s="193">
        <f>+'Acum inventario'!D117</f>
        <v>75185.840707964613</v>
      </c>
      <c r="N99" s="218">
        <f>+'Acum inventario'!D90</f>
        <v>188800</v>
      </c>
      <c r="O99" s="219"/>
      <c r="P99" s="162"/>
      <c r="Q99" s="190"/>
      <c r="R99" s="190"/>
      <c r="S99" s="190"/>
      <c r="T99" s="190"/>
      <c r="U99" s="190"/>
      <c r="V99" s="190"/>
      <c r="W99" s="190"/>
    </row>
    <row r="100" spans="1:23" ht="25.9" customHeight="1" x14ac:dyDescent="0.2">
      <c r="A100" s="217" t="s">
        <v>398</v>
      </c>
      <c r="B100" s="220"/>
      <c r="C100" s="220"/>
      <c r="D100" s="220"/>
      <c r="E100" s="220"/>
      <c r="F100" s="220"/>
      <c r="G100" s="220"/>
      <c r="H100" s="220"/>
      <c r="I100" s="220"/>
      <c r="J100" s="220"/>
      <c r="K100" s="220"/>
      <c r="L100" s="220"/>
      <c r="M100" s="220"/>
      <c r="N100" s="218">
        <f>+'Acum inventario'!F40:F40</f>
        <v>21000</v>
      </c>
      <c r="O100" s="221"/>
      <c r="P100" s="162"/>
      <c r="Q100" s="190"/>
      <c r="R100" s="190"/>
      <c r="S100" s="190"/>
      <c r="T100" s="190"/>
      <c r="U100" s="190"/>
      <c r="V100" s="190"/>
      <c r="W100" s="190"/>
    </row>
    <row r="101" spans="1:23" ht="28.15" customHeight="1" thickBot="1" x14ac:dyDescent="0.25">
      <c r="A101" s="217" t="s">
        <v>399</v>
      </c>
      <c r="B101" s="205"/>
      <c r="C101" s="205"/>
      <c r="D101" s="205"/>
      <c r="E101" s="205"/>
      <c r="F101" s="205"/>
      <c r="G101" s="205"/>
      <c r="H101" s="205"/>
      <c r="I101" s="205"/>
      <c r="J101" s="205"/>
      <c r="K101" s="205">
        <f>+'CCF ISR'!K37</f>
        <v>0</v>
      </c>
      <c r="L101" s="205">
        <f>+'CCF ISR'!L37</f>
        <v>258973.45132743364</v>
      </c>
      <c r="M101" s="205"/>
      <c r="N101" s="222">
        <f>+'Acum inventario'!E135</f>
        <v>354208.8495575221</v>
      </c>
      <c r="O101" s="223"/>
      <c r="P101" s="162"/>
      <c r="Q101" s="190"/>
      <c r="R101" s="190"/>
      <c r="S101" s="190"/>
      <c r="T101" s="190"/>
      <c r="U101" s="190"/>
      <c r="V101" s="190"/>
      <c r="W101" s="190"/>
    </row>
    <row r="102" spans="1:23" ht="27.75" customHeight="1" thickBot="1" x14ac:dyDescent="0.25">
      <c r="A102" s="224" t="s">
        <v>90</v>
      </c>
      <c r="B102" s="202">
        <f t="shared" ref="B102:G102" si="104">+B98-B99-B100-B101</f>
        <v>639861.31681481283</v>
      </c>
      <c r="C102" s="202">
        <f t="shared" si="104"/>
        <v>642427.6290351823</v>
      </c>
      <c r="D102" s="202">
        <f t="shared" si="104"/>
        <v>644784.08458241727</v>
      </c>
      <c r="E102" s="202">
        <f t="shared" si="104"/>
        <v>668765.45020505693</v>
      </c>
      <c r="F102" s="202">
        <f t="shared" si="104"/>
        <v>683419.93982300907</v>
      </c>
      <c r="G102" s="202">
        <f t="shared" si="104"/>
        <v>701946.1044247793</v>
      </c>
      <c r="H102" s="202">
        <f t="shared" ref="H102:I102" si="105">+H98-H99-H100-H101</f>
        <v>612138.72764609498</v>
      </c>
      <c r="I102" s="202">
        <f t="shared" si="105"/>
        <v>1039232.0509726855</v>
      </c>
      <c r="J102" s="202">
        <f t="shared" ref="J102:N102" si="106">+J98-J99-J100-J101</f>
        <v>572535.6106194699</v>
      </c>
      <c r="K102" s="202">
        <f t="shared" si="106"/>
        <v>513120.96304432437</v>
      </c>
      <c r="L102" s="202">
        <f t="shared" si="106"/>
        <v>875141.91980527225</v>
      </c>
      <c r="M102" s="202">
        <f t="shared" si="106"/>
        <v>591149.44792413956</v>
      </c>
      <c r="N102" s="202">
        <f t="shared" si="106"/>
        <v>441554.03572996112</v>
      </c>
      <c r="O102" s="202">
        <f>SUM(O98:O101)</f>
        <v>373333</v>
      </c>
      <c r="P102" s="162"/>
      <c r="Q102" s="190"/>
      <c r="R102" s="190"/>
      <c r="S102" s="190"/>
      <c r="T102" s="190"/>
      <c r="U102" s="190"/>
      <c r="V102" s="190"/>
      <c r="W102" s="190"/>
    </row>
    <row r="103" spans="1:23" ht="21" customHeight="1" x14ac:dyDescent="0.2">
      <c r="A103" s="225" t="s">
        <v>93</v>
      </c>
      <c r="B103" s="226"/>
      <c r="C103" s="226"/>
      <c r="D103" s="226"/>
      <c r="E103" s="226"/>
      <c r="F103" s="226"/>
      <c r="G103" s="226"/>
      <c r="H103" s="226"/>
      <c r="I103" s="226"/>
      <c r="J103" s="226"/>
      <c r="K103" s="226"/>
      <c r="L103" s="226"/>
      <c r="M103" s="227"/>
      <c r="N103" s="227"/>
      <c r="O103" s="227"/>
      <c r="P103" s="162"/>
      <c r="Q103" s="190"/>
      <c r="R103" s="190"/>
      <c r="S103" s="190"/>
      <c r="T103" s="190"/>
      <c r="U103" s="190"/>
      <c r="V103" s="190"/>
      <c r="W103" s="190"/>
    </row>
    <row r="104" spans="1:23" x14ac:dyDescent="0.2">
      <c r="A104" s="228" t="s">
        <v>362</v>
      </c>
      <c r="B104" s="209">
        <f t="shared" ref="B104:G104" si="107">+B59</f>
        <v>8220208.9379064133</v>
      </c>
      <c r="C104" s="209">
        <f t="shared" si="107"/>
        <v>8220208.9379064133</v>
      </c>
      <c r="D104" s="209">
        <f t="shared" si="107"/>
        <v>8220208.9379064133</v>
      </c>
      <c r="E104" s="209">
        <f t="shared" si="107"/>
        <v>8253624.8671099534</v>
      </c>
      <c r="F104" s="209">
        <f t="shared" si="107"/>
        <v>8253624.8671099534</v>
      </c>
      <c r="G104" s="209">
        <f t="shared" si="107"/>
        <v>8270332.8317117235</v>
      </c>
      <c r="H104" s="209">
        <f t="shared" ref="H104:I104" si="108">+H59</f>
        <v>8231832.8317117235</v>
      </c>
      <c r="I104" s="209">
        <f t="shared" si="108"/>
        <v>8554512.3074631691</v>
      </c>
      <c r="J104" s="209">
        <f>+J59</f>
        <v>8231832.8317117235</v>
      </c>
      <c r="K104" s="209">
        <f t="shared" ref="K104:O104" si="109">+K59</f>
        <v>8231832.8317117235</v>
      </c>
      <c r="L104" s="209">
        <f t="shared" si="109"/>
        <v>8554512.3074631691</v>
      </c>
      <c r="M104" s="209">
        <f t="shared" si="109"/>
        <v>8252907.5925886221</v>
      </c>
      <c r="N104" s="209">
        <f t="shared" si="109"/>
        <v>8352856.6371681411</v>
      </c>
      <c r="O104" s="209">
        <f t="shared" si="109"/>
        <v>8080400</v>
      </c>
      <c r="P104" s="162"/>
      <c r="Q104" s="190"/>
      <c r="R104" s="190"/>
      <c r="S104" s="190"/>
      <c r="T104" s="190"/>
      <c r="U104" s="190"/>
      <c r="V104" s="190"/>
      <c r="W104" s="190"/>
    </row>
    <row r="105" spans="1:23" ht="12.75" thickBot="1" x14ac:dyDescent="0.25">
      <c r="A105" s="173" t="s">
        <v>92</v>
      </c>
      <c r="B105" s="229">
        <f>+'CCF ISR'!E30</f>
        <v>0</v>
      </c>
      <c r="C105" s="229">
        <f>+'CCF ISR'!F30</f>
        <v>0</v>
      </c>
      <c r="D105" s="229">
        <f>+'CCF ISR'!G30</f>
        <v>0</v>
      </c>
      <c r="E105" s="229">
        <f>+'CCF ISR'!H30</f>
        <v>0</v>
      </c>
      <c r="F105" s="229">
        <f>+'CCF ISR'!I30</f>
        <v>0</v>
      </c>
      <c r="G105" s="229">
        <f>+'CCF ISR'!J30</f>
        <v>0</v>
      </c>
      <c r="H105" s="229">
        <f>+'CCF ISR'!K30</f>
        <v>0</v>
      </c>
      <c r="I105" s="229">
        <f>+'CCF ISR'!L30</f>
        <v>0</v>
      </c>
      <c r="J105" s="229">
        <f>+'CCF ISR'!K30</f>
        <v>0</v>
      </c>
      <c r="K105" s="229">
        <f>+'CCF ISR'!K30</f>
        <v>0</v>
      </c>
      <c r="L105" s="229">
        <f>+'CCF ISR'!L30</f>
        <v>0</v>
      </c>
      <c r="M105" s="229">
        <f>+'CCF ISR'!M30</f>
        <v>0</v>
      </c>
      <c r="N105" s="229">
        <f>+'CCF ISR'!N30</f>
        <v>0</v>
      </c>
      <c r="O105" s="229">
        <f>+'CCF ISR'!O30</f>
        <v>0</v>
      </c>
      <c r="P105" s="162"/>
      <c r="Q105" s="190"/>
      <c r="R105" s="190"/>
      <c r="S105" s="190"/>
      <c r="T105" s="190"/>
      <c r="U105" s="190"/>
      <c r="V105" s="190"/>
      <c r="W105" s="190"/>
    </row>
    <row r="106" spans="1:23" ht="12.75" thickBot="1" x14ac:dyDescent="0.25">
      <c r="A106" s="173" t="s">
        <v>93</v>
      </c>
      <c r="B106" s="230">
        <f t="shared" ref="B106:G106" si="110">+B104-B105</f>
        <v>8220208.9379064133</v>
      </c>
      <c r="C106" s="230">
        <f t="shared" si="110"/>
        <v>8220208.9379064133</v>
      </c>
      <c r="D106" s="230">
        <f t="shared" si="110"/>
        <v>8220208.9379064133</v>
      </c>
      <c r="E106" s="230">
        <f t="shared" si="110"/>
        <v>8253624.8671099534</v>
      </c>
      <c r="F106" s="230">
        <f t="shared" si="110"/>
        <v>8253624.8671099534</v>
      </c>
      <c r="G106" s="230">
        <f t="shared" si="110"/>
        <v>8270332.8317117235</v>
      </c>
      <c r="H106" s="230">
        <f t="shared" ref="H106:I106" si="111">+H104-H105</f>
        <v>8231832.8317117235</v>
      </c>
      <c r="I106" s="230">
        <f t="shared" si="111"/>
        <v>8554512.3074631691</v>
      </c>
      <c r="J106" s="230">
        <f>+J104-J105</f>
        <v>8231832.8317117235</v>
      </c>
      <c r="K106" s="230">
        <f t="shared" ref="K106:O106" si="112">+K104-K105</f>
        <v>8231832.8317117235</v>
      </c>
      <c r="L106" s="230">
        <f t="shared" si="112"/>
        <v>8554512.3074631691</v>
      </c>
      <c r="M106" s="230">
        <f t="shared" si="112"/>
        <v>8252907.5925886221</v>
      </c>
      <c r="N106" s="230">
        <f t="shared" si="112"/>
        <v>8352856.6371681411</v>
      </c>
      <c r="O106" s="230">
        <f t="shared" si="112"/>
        <v>8080400</v>
      </c>
      <c r="P106" s="162"/>
      <c r="Q106" s="190"/>
      <c r="R106" s="190"/>
      <c r="S106" s="190"/>
      <c r="T106" s="190"/>
      <c r="U106" s="190"/>
      <c r="V106" s="190"/>
      <c r="W106" s="190"/>
    </row>
    <row r="107" spans="1:23" ht="28.15" customHeight="1" thickBot="1" x14ac:dyDescent="0.25">
      <c r="A107" s="231" t="s">
        <v>96</v>
      </c>
      <c r="B107" s="232">
        <f t="shared" ref="B107:G107" si="113">+B102/B106</f>
        <v>7.7840030788533424E-2</v>
      </c>
      <c r="C107" s="232">
        <f t="shared" si="113"/>
        <v>7.8152226286209311E-2</v>
      </c>
      <c r="D107" s="232">
        <f t="shared" si="113"/>
        <v>7.843889242389937E-2</v>
      </c>
      <c r="E107" s="232">
        <f t="shared" si="113"/>
        <v>8.1026877399048597E-2</v>
      </c>
      <c r="F107" s="232">
        <f t="shared" si="113"/>
        <v>8.2802399046070507E-2</v>
      </c>
      <c r="G107" s="232">
        <f t="shared" si="113"/>
        <v>8.4875194107453644E-2</v>
      </c>
      <c r="H107" s="232">
        <f t="shared" ref="H107:I107" si="114">+H102/H106</f>
        <v>7.4362385650973806E-2</v>
      </c>
      <c r="I107" s="232">
        <f t="shared" si="114"/>
        <v>0.12148349474768229</v>
      </c>
      <c r="J107" s="232">
        <f t="shared" ref="J107:N107" si="115">+J102/J106</f>
        <v>6.9551413679572641E-2</v>
      </c>
      <c r="K107" s="232">
        <f t="shared" si="115"/>
        <v>6.2333744323331483E-2</v>
      </c>
      <c r="L107" s="232">
        <f t="shared" si="115"/>
        <v>0.10230178978663421</v>
      </c>
      <c r="M107" s="232">
        <f t="shared" si="115"/>
        <v>7.1629233853897856E-2</v>
      </c>
      <c r="N107" s="232">
        <f t="shared" si="115"/>
        <v>5.2862637886678811E-2</v>
      </c>
      <c r="O107" s="232">
        <f>IF(+O102/O106&gt;0,+O102/O106,0)</f>
        <v>4.6202291965744269E-2</v>
      </c>
      <c r="P107" s="162"/>
      <c r="Q107" s="190"/>
      <c r="R107" s="190"/>
      <c r="S107" s="190"/>
      <c r="T107" s="190"/>
      <c r="U107" s="190"/>
      <c r="V107" s="190"/>
      <c r="W107" s="190"/>
    </row>
    <row r="108" spans="1:23" ht="12.75" thickTop="1" x14ac:dyDescent="0.2">
      <c r="A108" s="233"/>
      <c r="B108" s="234"/>
      <c r="C108" s="234"/>
      <c r="D108" s="234"/>
      <c r="E108" s="234"/>
      <c r="F108" s="234"/>
      <c r="G108" s="234"/>
      <c r="H108" s="234"/>
      <c r="I108" s="234"/>
      <c r="J108" s="234"/>
      <c r="K108" s="234"/>
      <c r="L108" s="234"/>
      <c r="M108" s="234"/>
      <c r="N108" s="234"/>
      <c r="O108" s="234"/>
      <c r="P108" s="162"/>
      <c r="Q108" s="190"/>
      <c r="R108" s="190"/>
      <c r="S108" s="190"/>
      <c r="T108" s="190"/>
      <c r="U108" s="190"/>
      <c r="V108" s="190"/>
      <c r="W108" s="190"/>
    </row>
    <row r="109" spans="1:23" ht="12.75" thickBot="1" x14ac:dyDescent="0.25">
      <c r="A109" s="235" t="s">
        <v>94</v>
      </c>
      <c r="B109" s="236" t="s">
        <v>279</v>
      </c>
      <c r="C109" s="237"/>
      <c r="D109" s="237"/>
      <c r="E109" s="237"/>
      <c r="F109" s="237"/>
      <c r="G109" s="237"/>
      <c r="H109" s="237"/>
      <c r="I109" s="237"/>
      <c r="J109" s="237"/>
      <c r="K109" s="237"/>
      <c r="L109" s="237"/>
      <c r="M109" s="237"/>
      <c r="N109" s="238"/>
      <c r="O109" s="238"/>
      <c r="P109" s="162"/>
      <c r="Q109" s="190"/>
      <c r="R109" s="190"/>
      <c r="S109" s="190"/>
      <c r="T109" s="190"/>
      <c r="U109" s="190"/>
      <c r="V109" s="190"/>
      <c r="W109" s="190"/>
    </row>
    <row r="110" spans="1:23" x14ac:dyDescent="0.2">
      <c r="A110" s="182"/>
      <c r="B110" s="189" t="s">
        <v>9</v>
      </c>
      <c r="C110" s="237"/>
      <c r="D110" s="237"/>
      <c r="E110" s="237"/>
      <c r="F110" s="237"/>
      <c r="G110" s="237"/>
      <c r="H110" s="237"/>
      <c r="I110" s="237"/>
      <c r="J110" s="237"/>
      <c r="K110" s="237"/>
      <c r="L110" s="237"/>
      <c r="M110" s="237"/>
      <c r="N110" s="182"/>
      <c r="O110" s="182"/>
      <c r="P110" s="162"/>
      <c r="Q110" s="190"/>
      <c r="R110" s="190"/>
      <c r="S110" s="190"/>
      <c r="T110" s="190"/>
      <c r="U110" s="190"/>
      <c r="V110" s="190"/>
      <c r="W110" s="190"/>
    </row>
    <row r="111" spans="1:23" x14ac:dyDescent="0.2">
      <c r="P111" s="239"/>
      <c r="Q111" s="190"/>
      <c r="R111" s="190"/>
      <c r="S111" s="190"/>
      <c r="T111" s="190"/>
      <c r="U111" s="190"/>
      <c r="V111" s="190"/>
      <c r="W111" s="190"/>
    </row>
    <row r="112" spans="1:23" x14ac:dyDescent="0.2">
      <c r="P112" s="239"/>
      <c r="Q112" s="190"/>
      <c r="R112" s="190"/>
      <c r="S112" s="190"/>
      <c r="T112" s="190"/>
      <c r="U112" s="190"/>
      <c r="V112" s="190"/>
      <c r="W112" s="190"/>
    </row>
    <row r="113" spans="16:23" x14ac:dyDescent="0.2">
      <c r="P113" s="239"/>
      <c r="Q113" s="190"/>
      <c r="R113" s="190"/>
      <c r="S113" s="190"/>
      <c r="T113" s="190"/>
      <c r="U113" s="190"/>
      <c r="V113" s="190"/>
      <c r="W113" s="190"/>
    </row>
    <row r="114" spans="16:23" x14ac:dyDescent="0.2">
      <c r="P114" s="239"/>
      <c r="Q114" s="190"/>
      <c r="R114" s="190"/>
      <c r="S114" s="190"/>
      <c r="T114" s="190"/>
      <c r="U114" s="190"/>
      <c r="V114" s="190"/>
      <c r="W114" s="190"/>
    </row>
    <row r="115" spans="16:23" x14ac:dyDescent="0.2">
      <c r="P115" s="239"/>
      <c r="Q115" s="190"/>
      <c r="R115" s="190"/>
      <c r="S115" s="190"/>
      <c r="T115" s="190"/>
      <c r="U115" s="190"/>
      <c r="V115" s="190"/>
      <c r="W115" s="190"/>
    </row>
    <row r="116" spans="16:23" x14ac:dyDescent="0.2">
      <c r="P116" s="239"/>
      <c r="Q116" s="190"/>
      <c r="R116" s="190"/>
      <c r="S116" s="190"/>
      <c r="T116" s="190"/>
      <c r="U116" s="190"/>
      <c r="V116" s="190"/>
      <c r="W116" s="190"/>
    </row>
    <row r="117" spans="16:23" x14ac:dyDescent="0.2">
      <c r="P117" s="239"/>
      <c r="Q117" s="190"/>
      <c r="R117" s="190"/>
      <c r="S117" s="190"/>
      <c r="T117" s="190"/>
      <c r="U117" s="190"/>
      <c r="V117" s="190"/>
      <c r="W117" s="190"/>
    </row>
    <row r="118" spans="16:23" x14ac:dyDescent="0.2">
      <c r="P118" s="239"/>
      <c r="Q118" s="190"/>
      <c r="R118" s="190"/>
      <c r="S118" s="190"/>
      <c r="T118" s="190"/>
      <c r="U118" s="190"/>
      <c r="V118" s="190"/>
      <c r="W118" s="190"/>
    </row>
    <row r="119" spans="16:23" x14ac:dyDescent="0.2">
      <c r="P119" s="239"/>
      <c r="Q119" s="190"/>
      <c r="R119" s="190"/>
      <c r="S119" s="190"/>
      <c r="T119" s="190"/>
      <c r="U119" s="190"/>
      <c r="V119" s="190"/>
      <c r="W119" s="190"/>
    </row>
    <row r="120" spans="16:23" x14ac:dyDescent="0.2">
      <c r="P120" s="239"/>
      <c r="Q120" s="190"/>
      <c r="R120" s="190"/>
      <c r="S120" s="190"/>
      <c r="T120" s="190"/>
      <c r="U120" s="190"/>
      <c r="V120" s="190"/>
      <c r="W120" s="190"/>
    </row>
    <row r="121" spans="16:23" x14ac:dyDescent="0.2">
      <c r="P121" s="239"/>
      <c r="Q121" s="190"/>
      <c r="R121" s="190"/>
      <c r="S121" s="190"/>
      <c r="T121" s="190"/>
      <c r="U121" s="190"/>
      <c r="V121" s="190"/>
      <c r="W121" s="190"/>
    </row>
    <row r="122" spans="16:23" x14ac:dyDescent="0.2">
      <c r="P122" s="239"/>
      <c r="Q122" s="190"/>
      <c r="R122" s="190"/>
      <c r="S122" s="190"/>
      <c r="T122" s="190"/>
      <c r="U122" s="190"/>
      <c r="V122" s="190"/>
      <c r="W122" s="190"/>
    </row>
    <row r="123" spans="16:23" x14ac:dyDescent="0.2">
      <c r="P123" s="239"/>
      <c r="Q123" s="190"/>
      <c r="R123" s="190"/>
      <c r="S123" s="190"/>
      <c r="T123" s="190"/>
      <c r="U123" s="190"/>
      <c r="V123" s="190"/>
      <c r="W123" s="190"/>
    </row>
  </sheetData>
  <phoneticPr fontId="0" type="noConversion"/>
  <conditionalFormatting sqref="B33">
    <cfRule type="expression" dxfId="21" priority="24" stopIfTrue="1">
      <formula>B$434="No Aplica"</formula>
    </cfRule>
  </conditionalFormatting>
  <conditionalFormatting sqref="B34:B36">
    <cfRule type="expression" dxfId="20" priority="23" stopIfTrue="1">
      <formula>B$434="No Aplica"</formula>
    </cfRule>
  </conditionalFormatting>
  <conditionalFormatting sqref="B39 B41:B43 H41:O43 H39:O39">
    <cfRule type="expression" dxfId="19" priority="20" stopIfTrue="1">
      <formula>B$434="No Aplica"</formula>
    </cfRule>
  </conditionalFormatting>
  <conditionalFormatting sqref="B44:B45 H44:O45">
    <cfRule type="expression" dxfId="18" priority="19" stopIfTrue="1">
      <formula>B$434="No Aplica"</formula>
    </cfRule>
  </conditionalFormatting>
  <conditionalFormatting sqref="B16:B20 H16:O20">
    <cfRule type="expression" dxfId="17" priority="18" stopIfTrue="1">
      <formula>B$434="No Aplica"</formula>
    </cfRule>
  </conditionalFormatting>
  <conditionalFormatting sqref="B8:B10">
    <cfRule type="expression" dxfId="16" priority="17" stopIfTrue="1">
      <formula>B$434="No Aplica"</formula>
    </cfRule>
  </conditionalFormatting>
  <conditionalFormatting sqref="H8:O10">
    <cfRule type="expression" dxfId="15" priority="16" stopIfTrue="1">
      <formula>H$434="No Aplica"</formula>
    </cfRule>
  </conditionalFormatting>
  <conditionalFormatting sqref="H33:O33">
    <cfRule type="expression" dxfId="14" priority="15" stopIfTrue="1">
      <formula>H$434="No Aplica"</formula>
    </cfRule>
  </conditionalFormatting>
  <conditionalFormatting sqref="H34:O36">
    <cfRule type="expression" dxfId="13" priority="14" stopIfTrue="1">
      <formula>H$434="No Aplica"</formula>
    </cfRule>
  </conditionalFormatting>
  <conditionalFormatting sqref="H82:O94">
    <cfRule type="expression" dxfId="12" priority="13" stopIfTrue="1">
      <formula>H$434="No Aplica"</formula>
    </cfRule>
  </conditionalFormatting>
  <conditionalFormatting sqref="H74:O78">
    <cfRule type="expression" dxfId="11" priority="12" stopIfTrue="1">
      <formula>H$434="No Aplica"</formula>
    </cfRule>
  </conditionalFormatting>
  <conditionalFormatting sqref="H40:O40">
    <cfRule type="expression" dxfId="10" priority="11" stopIfTrue="1">
      <formula>H$434="No Aplica"</formula>
    </cfRule>
  </conditionalFormatting>
  <conditionalFormatting sqref="C8:G10">
    <cfRule type="expression" dxfId="9" priority="10" stopIfTrue="1">
      <formula>C$434="No Aplica"</formula>
    </cfRule>
  </conditionalFormatting>
  <conditionalFormatting sqref="C16:G20">
    <cfRule type="expression" dxfId="8" priority="9" stopIfTrue="1">
      <formula>C$434="No Aplica"</formula>
    </cfRule>
  </conditionalFormatting>
  <conditionalFormatting sqref="C33:G33">
    <cfRule type="expression" dxfId="7" priority="8" stopIfTrue="1">
      <formula>C$434="No Aplica"</formula>
    </cfRule>
  </conditionalFormatting>
  <conditionalFormatting sqref="C34:G36">
    <cfRule type="expression" dxfId="6" priority="7" stopIfTrue="1">
      <formula>C$434="No Aplica"</formula>
    </cfRule>
  </conditionalFormatting>
  <conditionalFormatting sqref="C39:G39 C41:G43">
    <cfRule type="expression" dxfId="5" priority="6" stopIfTrue="1">
      <formula>C$434="No Aplica"</formula>
    </cfRule>
  </conditionalFormatting>
  <conditionalFormatting sqref="C44:G45">
    <cfRule type="expression" dxfId="4" priority="5" stopIfTrue="1">
      <formula>C$434="No Aplica"</formula>
    </cfRule>
  </conditionalFormatting>
  <conditionalFormatting sqref="C40:G40">
    <cfRule type="expression" dxfId="3" priority="4" stopIfTrue="1">
      <formula>C$434="No Aplica"</formula>
    </cfRule>
  </conditionalFormatting>
  <conditionalFormatting sqref="B74:G78">
    <cfRule type="expression" dxfId="2" priority="3" stopIfTrue="1">
      <formula>B$434="No Aplica"</formula>
    </cfRule>
  </conditionalFormatting>
  <conditionalFormatting sqref="B82:G94">
    <cfRule type="expression" dxfId="1" priority="2" stopIfTrue="1">
      <formula>B$434="No Aplica"</formula>
    </cfRule>
  </conditionalFormatting>
  <conditionalFormatting sqref="B40">
    <cfRule type="expression" dxfId="0" priority="1" stopIfTrue="1">
      <formula>B$434="No Aplica"</formula>
    </cfRule>
  </conditionalFormatting>
  <printOptions horizontalCentered="1"/>
  <pageMargins left="0.59055118110236227" right="0.75" top="0.59055118110236227" bottom="0.59055118110236227" header="0" footer="0"/>
  <pageSetup orientation="portrait" r:id="rId1"/>
  <headerFooter alignWithMargins="0">
    <oddHeader>&amp;R&amp;F
&amp;D</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133" workbookViewId="0">
      <pane xSplit="1" ySplit="3" topLeftCell="B4" activePane="bottomRight" state="frozen"/>
      <selection pane="topRight" activeCell="B1" sqref="B1"/>
      <selection pane="bottomLeft" activeCell="A5" sqref="A5"/>
      <selection pane="bottomRight" activeCell="A18" sqref="A18"/>
    </sheetView>
  </sheetViews>
  <sheetFormatPr baseColWidth="10" defaultColWidth="11.5703125" defaultRowHeight="12" x14ac:dyDescent="0.2"/>
  <cols>
    <col min="1" max="1" width="39.42578125" style="144" customWidth="1"/>
    <col min="2" max="7" width="13.7109375" style="144" customWidth="1"/>
    <col min="8" max="8" width="13" style="144" customWidth="1"/>
    <col min="9" max="10" width="14" style="144" customWidth="1"/>
    <col min="11" max="11" width="13.42578125" style="144" customWidth="1"/>
    <col min="12" max="12" width="14" style="144" customWidth="1"/>
    <col min="13" max="16384" width="11.5703125" style="144"/>
  </cols>
  <sheetData>
    <row r="1" spans="1:17" ht="15" x14ac:dyDescent="0.25">
      <c r="A1" s="477" t="str">
        <f>+ER!A1</f>
        <v>Empresa Comercial, SA de CV</v>
      </c>
      <c r="B1" s="258"/>
      <c r="C1" s="258"/>
      <c r="D1" s="258"/>
      <c r="E1" s="258"/>
      <c r="F1" s="258"/>
      <c r="G1" s="258"/>
      <c r="H1" s="258"/>
    </row>
    <row r="2" spans="1:17" ht="12.75" thickBot="1" x14ac:dyDescent="0.25">
      <c r="A2" s="259" t="s">
        <v>153</v>
      </c>
      <c r="B2" s="259"/>
      <c r="C2" s="259"/>
      <c r="D2" s="259"/>
      <c r="E2" s="259"/>
      <c r="F2" s="259"/>
      <c r="G2" s="259"/>
      <c r="H2" s="259"/>
      <c r="I2" s="259"/>
      <c r="J2" s="259"/>
      <c r="K2" s="259"/>
      <c r="L2" s="259"/>
      <c r="M2" s="259"/>
    </row>
    <row r="3" spans="1:17" ht="12.75" thickBot="1" x14ac:dyDescent="0.25">
      <c r="A3" s="260" t="s">
        <v>359</v>
      </c>
      <c r="B3" s="260">
        <v>2017</v>
      </c>
      <c r="C3" s="260">
        <v>2016</v>
      </c>
      <c r="D3" s="260">
        <v>2015</v>
      </c>
      <c r="E3" s="260">
        <v>2014</v>
      </c>
      <c r="F3" s="260">
        <v>2013</v>
      </c>
      <c r="G3" s="260">
        <v>2012</v>
      </c>
      <c r="H3" s="260">
        <v>2011</v>
      </c>
      <c r="I3" s="260">
        <v>2010</v>
      </c>
      <c r="J3" s="260">
        <v>2009</v>
      </c>
      <c r="K3" s="260">
        <v>2008</v>
      </c>
      <c r="L3" s="261">
        <v>2007</v>
      </c>
      <c r="M3" s="262">
        <v>2006</v>
      </c>
      <c r="N3" s="262">
        <v>2005</v>
      </c>
      <c r="O3" s="262">
        <v>2004</v>
      </c>
      <c r="P3" s="262">
        <v>2003</v>
      </c>
      <c r="Q3" s="262">
        <v>2002</v>
      </c>
    </row>
    <row r="4" spans="1:17" x14ac:dyDescent="0.2">
      <c r="A4" s="144" t="s">
        <v>362</v>
      </c>
      <c r="B4" s="190">
        <f>+ER!B59-B8-B9-B10</f>
        <v>8220208.9379064133</v>
      </c>
      <c r="C4" s="190">
        <f>+ER!C59-C8-C9-C10</f>
        <v>8220208.9379064133</v>
      </c>
      <c r="D4" s="190">
        <f>+ER!D59-D8-D9-D10</f>
        <v>8220208.9379064133</v>
      </c>
      <c r="E4" s="190">
        <f>+ER!E59-E8-E9-E10</f>
        <v>8253624.8671099534</v>
      </c>
      <c r="F4" s="190">
        <f>+ER!F59-F8-F9-F10</f>
        <v>8253624.8671099534</v>
      </c>
      <c r="G4" s="190">
        <f>+ER!G59-G8-G9-G10</f>
        <v>8270332.8317117235</v>
      </c>
      <c r="H4" s="190">
        <f>+ER!H59-H8-H9-H10</f>
        <v>8198416.9025081834</v>
      </c>
      <c r="I4" s="190">
        <f>+ER!I59-I8-I9-I10</f>
        <v>8521096.378259629</v>
      </c>
      <c r="J4" s="190">
        <f>+ER!J59-J8-J9-J10</f>
        <v>8181708.9379064133</v>
      </c>
      <c r="K4" s="190">
        <f>+ER!K59-K8-K9-K10</f>
        <v>8181708.9379064133</v>
      </c>
      <c r="L4" s="190">
        <f>+ER!L59-L8-L9-L10</f>
        <v>8220353.0154277701</v>
      </c>
      <c r="M4" s="190">
        <f>+ER!M59-M8-M9-M10</f>
        <v>8177721.7518806579</v>
      </c>
      <c r="N4" s="190">
        <f>+ER!N59-N8-N9-N10</f>
        <v>7877400</v>
      </c>
      <c r="O4" s="190">
        <f>+ER!O59</f>
        <v>8080400</v>
      </c>
      <c r="P4" s="190">
        <v>8000000</v>
      </c>
      <c r="Q4" s="190">
        <v>7000000</v>
      </c>
    </row>
    <row r="5" spans="1:17" ht="12.75" thickBot="1" x14ac:dyDescent="0.25">
      <c r="A5" s="144" t="s">
        <v>363</v>
      </c>
      <c r="B5" s="190">
        <f>+ER!B60-B12</f>
        <v>7508912.1306991326</v>
      </c>
      <c r="C5" s="190">
        <f>+ER!C60-C12</f>
        <v>7505854.0339817349</v>
      </c>
      <c r="D5" s="190">
        <f>+ER!D60-D12</f>
        <v>7500936.1890114546</v>
      </c>
      <c r="E5" s="190">
        <f>+ER!E60-E12</f>
        <v>7508738.2239845423</v>
      </c>
      <c r="F5" s="190">
        <f>+ER!F60-F12</f>
        <v>7492412.9379064133</v>
      </c>
      <c r="G5" s="190">
        <f>+ER!G60-G12</f>
        <v>7492412.9379064133</v>
      </c>
      <c r="H5" s="190">
        <f>+ER!H60-H12</f>
        <v>7472094.9379064133</v>
      </c>
      <c r="I5" s="190">
        <f>+ER!I60-I12</f>
        <v>7412679.9379064124</v>
      </c>
      <c r="J5" s="190">
        <f>+ER!J60-J12</f>
        <v>7539988.9379064133</v>
      </c>
      <c r="K5" s="190">
        <f>+ER!K60-K12</f>
        <v>7539988.9379064143</v>
      </c>
      <c r="L5" s="190">
        <f>+ER!L60-L12</f>
        <v>7268521.9379064133</v>
      </c>
      <c r="M5" s="190">
        <f>+ER!M60-M12</f>
        <v>7486016.0154277692</v>
      </c>
      <c r="N5" s="190">
        <f>+ER!N60</f>
        <v>7347293.7518806579</v>
      </c>
      <c r="O5" s="190">
        <f>+ER!O60</f>
        <v>7707067</v>
      </c>
      <c r="P5" s="190">
        <v>7700000</v>
      </c>
      <c r="Q5" s="190">
        <v>6700000</v>
      </c>
    </row>
    <row r="6" spans="1:17" ht="12.75" thickBot="1" x14ac:dyDescent="0.25">
      <c r="A6" s="263" t="s">
        <v>143</v>
      </c>
      <c r="B6" s="264">
        <f>+B4-B5</f>
        <v>711296.80720728077</v>
      </c>
      <c r="C6" s="264">
        <f t="shared" ref="C6:G6" si="0">+C4-C5</f>
        <v>714354.90392467845</v>
      </c>
      <c r="D6" s="264">
        <f t="shared" si="0"/>
        <v>719272.74889495876</v>
      </c>
      <c r="E6" s="264">
        <f t="shared" si="0"/>
        <v>744886.64312541112</v>
      </c>
      <c r="F6" s="264">
        <f t="shared" si="0"/>
        <v>761211.92920354009</v>
      </c>
      <c r="G6" s="264">
        <f t="shared" si="0"/>
        <v>777919.89380531013</v>
      </c>
      <c r="H6" s="264">
        <f>+H4-H5</f>
        <v>726321.96460177004</v>
      </c>
      <c r="I6" s="264">
        <f t="shared" ref="I6:Q6" si="1">+I4-I5</f>
        <v>1108416.4403532166</v>
      </c>
      <c r="J6" s="264">
        <f>+J4-J5</f>
        <v>641720</v>
      </c>
      <c r="K6" s="264">
        <f t="shared" si="1"/>
        <v>641719.99999999907</v>
      </c>
      <c r="L6" s="264">
        <f t="shared" si="1"/>
        <v>951831.07752135675</v>
      </c>
      <c r="M6" s="264">
        <f t="shared" si="1"/>
        <v>691705.7364528887</v>
      </c>
      <c r="N6" s="264">
        <f t="shared" si="1"/>
        <v>530106.24811934214</v>
      </c>
      <c r="O6" s="264">
        <f t="shared" si="1"/>
        <v>373333</v>
      </c>
      <c r="P6" s="264">
        <f t="shared" si="1"/>
        <v>300000</v>
      </c>
      <c r="Q6" s="264">
        <f t="shared" si="1"/>
        <v>300000</v>
      </c>
    </row>
    <row r="7" spans="1:17" x14ac:dyDescent="0.2">
      <c r="A7" s="265"/>
      <c r="B7" s="922">
        <f>+B6/B4</f>
        <v>8.6530258851113748E-2</v>
      </c>
      <c r="C7" s="922">
        <f t="shared" ref="C7:H7" si="2">+C6/C4</f>
        <v>8.6902280625803158E-2</v>
      </c>
      <c r="D7" s="922">
        <f t="shared" si="2"/>
        <v>8.7500543395938143E-2</v>
      </c>
      <c r="E7" s="922">
        <f t="shared" si="2"/>
        <v>9.024963638627749E-2</v>
      </c>
      <c r="F7" s="922">
        <f t="shared" si="2"/>
        <v>9.2227589872288698E-2</v>
      </c>
      <c r="G7" s="922">
        <f t="shared" si="2"/>
        <v>9.4061497842318736E-2</v>
      </c>
      <c r="H7" s="266">
        <f t="shared" si="2"/>
        <v>8.8592953156549373E-2</v>
      </c>
      <c r="I7" s="266">
        <f t="shared" ref="I7:Q7" si="3">+I6/I4</f>
        <v>0.13007908737908236</v>
      </c>
      <c r="J7" s="266">
        <f>+J6/J4</f>
        <v>7.8433491691065615E-2</v>
      </c>
      <c r="K7" s="266">
        <f t="shared" si="3"/>
        <v>7.8433491691065504E-2</v>
      </c>
      <c r="L7" s="266">
        <f t="shared" si="3"/>
        <v>0.11578956228947614</v>
      </c>
      <c r="M7" s="266">
        <f t="shared" si="3"/>
        <v>8.4584161388691764E-2</v>
      </c>
      <c r="N7" s="266">
        <f t="shared" si="3"/>
        <v>6.7294570304839429E-2</v>
      </c>
      <c r="O7" s="266">
        <f t="shared" si="3"/>
        <v>4.6202291965744269E-2</v>
      </c>
      <c r="P7" s="266">
        <f t="shared" si="3"/>
        <v>3.7499999999999999E-2</v>
      </c>
      <c r="Q7" s="266">
        <f t="shared" si="3"/>
        <v>4.2857142857142858E-2</v>
      </c>
    </row>
    <row r="8" spans="1:17" ht="14.25" customHeight="1" x14ac:dyDescent="0.2">
      <c r="A8" s="272" t="s">
        <v>976</v>
      </c>
      <c r="B8" s="923"/>
      <c r="C8" s="924"/>
      <c r="D8" s="924"/>
      <c r="E8" s="924"/>
      <c r="F8" s="924"/>
      <c r="G8" s="924"/>
      <c r="H8" s="290">
        <f>+'Acum inventario'!D167</f>
        <v>33415.929203539825</v>
      </c>
      <c r="I8" s="290">
        <f>+'Acum inventario'!D166</f>
        <v>33415.929203539825</v>
      </c>
      <c r="J8" s="290">
        <f>+'Acum inventario'!D165</f>
        <v>50123.893805309737</v>
      </c>
      <c r="K8" s="290">
        <f>+'Acum inventario'!D164</f>
        <v>50123.893805309737</v>
      </c>
      <c r="L8" s="290">
        <f>+'Acum inventario'!E163</f>
        <v>75185.840707964613</v>
      </c>
      <c r="M8" s="290">
        <f>+'Acum inventario'!E162</f>
        <v>75185.840707964613</v>
      </c>
      <c r="N8" s="290">
        <f>+'Acum inventario'!E161</f>
        <v>100247.78761061949</v>
      </c>
      <c r="O8" s="920"/>
      <c r="P8" s="920"/>
      <c r="Q8" s="920"/>
    </row>
    <row r="9" spans="1:17" ht="24" x14ac:dyDescent="0.2">
      <c r="A9" s="272" t="s">
        <v>975</v>
      </c>
      <c r="B9" s="923"/>
      <c r="C9" s="923"/>
      <c r="D9" s="923"/>
      <c r="E9" s="923"/>
      <c r="F9" s="923"/>
      <c r="G9" s="923"/>
      <c r="H9" s="923"/>
      <c r="I9" s="923"/>
      <c r="J9" s="923"/>
      <c r="K9" s="923"/>
      <c r="L9" s="923"/>
      <c r="M9" s="923"/>
      <c r="N9" s="290">
        <f>+'CCF ISR'!N36</f>
        <v>21000</v>
      </c>
      <c r="O9" s="920"/>
      <c r="P9" s="920"/>
      <c r="Q9" s="920"/>
    </row>
    <row r="10" spans="1:17" s="930" customFormat="1" ht="24.75" thickBot="1" x14ac:dyDescent="0.25">
      <c r="A10" s="388" t="s">
        <v>977</v>
      </c>
      <c r="B10" s="927"/>
      <c r="C10" s="460"/>
      <c r="D10" s="460"/>
      <c r="E10" s="460"/>
      <c r="F10" s="460"/>
      <c r="G10" s="460"/>
      <c r="H10" s="388">
        <v>0</v>
      </c>
      <c r="I10" s="388">
        <v>0</v>
      </c>
      <c r="J10" s="388">
        <v>0</v>
      </c>
      <c r="K10" s="388">
        <v>0</v>
      </c>
      <c r="L10" s="928">
        <f>+'CCF ISR'!L37</f>
        <v>258973.45132743364</v>
      </c>
      <c r="M10" s="928">
        <f>+'CCF ISR'!M37</f>
        <v>0</v>
      </c>
      <c r="N10" s="928">
        <f>+'CCF ISR'!N37</f>
        <v>354208.8495575221</v>
      </c>
      <c r="O10" s="929"/>
      <c r="P10" s="929"/>
      <c r="Q10" s="929"/>
    </row>
    <row r="11" spans="1:17" ht="24" x14ac:dyDescent="0.2">
      <c r="A11" s="925" t="s">
        <v>265</v>
      </c>
      <c r="B11" s="926">
        <f t="shared" ref="B11:Q11" si="4">+B8+B9+B10+B6</f>
        <v>711296.80720728077</v>
      </c>
      <c r="C11" s="926">
        <f t="shared" ref="C11:G11" si="5">+C8+C9+C10+C6</f>
        <v>714354.90392467845</v>
      </c>
      <c r="D11" s="926">
        <f t="shared" si="5"/>
        <v>719272.74889495876</v>
      </c>
      <c r="E11" s="926">
        <f t="shared" si="5"/>
        <v>744886.64312541112</v>
      </c>
      <c r="F11" s="926">
        <f t="shared" si="5"/>
        <v>761211.92920354009</v>
      </c>
      <c r="G11" s="926">
        <f t="shared" si="5"/>
        <v>777919.89380531013</v>
      </c>
      <c r="H11" s="926">
        <f t="shared" si="4"/>
        <v>759737.8938053099</v>
      </c>
      <c r="I11" s="926">
        <f t="shared" si="4"/>
        <v>1141832.3695567565</v>
      </c>
      <c r="J11" s="926">
        <f>+J8+J9+J10+J6</f>
        <v>691843.89380530978</v>
      </c>
      <c r="K11" s="926">
        <f t="shared" si="4"/>
        <v>691843.89380530885</v>
      </c>
      <c r="L11" s="926">
        <f t="shared" si="4"/>
        <v>1285990.3695567551</v>
      </c>
      <c r="M11" s="926">
        <f t="shared" si="4"/>
        <v>766891.57716085331</v>
      </c>
      <c r="N11" s="926">
        <f t="shared" si="4"/>
        <v>1005562.8852874837</v>
      </c>
      <c r="O11" s="926">
        <f t="shared" si="4"/>
        <v>373333</v>
      </c>
      <c r="P11" s="926">
        <f t="shared" si="4"/>
        <v>300000</v>
      </c>
      <c r="Q11" s="926">
        <f t="shared" si="4"/>
        <v>300000</v>
      </c>
    </row>
    <row r="12" spans="1:17" x14ac:dyDescent="0.2">
      <c r="A12" s="276" t="s">
        <v>817</v>
      </c>
      <c r="B12" s="277">
        <f>+B26</f>
        <v>71435.490392467851</v>
      </c>
      <c r="C12" s="277">
        <f t="shared" ref="C12:G12" si="6">+C26</f>
        <v>71927.274889495879</v>
      </c>
      <c r="D12" s="277">
        <f t="shared" si="6"/>
        <v>74488.664312541121</v>
      </c>
      <c r="E12" s="277">
        <f t="shared" si="6"/>
        <v>76121.192920354006</v>
      </c>
      <c r="F12" s="277">
        <f t="shared" si="6"/>
        <v>77791.989380531013</v>
      </c>
      <c r="G12" s="277">
        <f t="shared" si="6"/>
        <v>75973.789380530987</v>
      </c>
      <c r="H12" s="277">
        <f t="shared" ref="H12:M12" si="7">+H26</f>
        <v>114183.23695567565</v>
      </c>
      <c r="I12" s="277">
        <f t="shared" si="7"/>
        <v>69184.389380530978</v>
      </c>
      <c r="J12" s="277">
        <f t="shared" si="7"/>
        <v>69184.389380530891</v>
      </c>
      <c r="K12" s="277">
        <f t="shared" si="7"/>
        <v>128599.03695567552</v>
      </c>
      <c r="L12" s="277">
        <f t="shared" si="7"/>
        <v>76689.157716085334</v>
      </c>
      <c r="M12" s="277">
        <f t="shared" si="7"/>
        <v>100556.28852874838</v>
      </c>
      <c r="N12" s="278"/>
      <c r="O12" s="278"/>
      <c r="P12" s="278"/>
      <c r="Q12" s="278"/>
    </row>
    <row r="13" spans="1:17" ht="24" x14ac:dyDescent="0.2">
      <c r="A13" s="274" t="s">
        <v>152</v>
      </c>
      <c r="B13" s="275">
        <f t="shared" ref="B13:Q13" si="8">+B11-B12</f>
        <v>639861.31681481295</v>
      </c>
      <c r="C13" s="275">
        <f t="shared" ref="C13:G13" si="9">+C11-C12</f>
        <v>642427.62903518253</v>
      </c>
      <c r="D13" s="275">
        <f t="shared" si="9"/>
        <v>644784.08458241762</v>
      </c>
      <c r="E13" s="275">
        <f t="shared" si="9"/>
        <v>668765.45020505716</v>
      </c>
      <c r="F13" s="275">
        <f t="shared" si="9"/>
        <v>683419.93982300907</v>
      </c>
      <c r="G13" s="275">
        <f t="shared" si="9"/>
        <v>701946.10442477919</v>
      </c>
      <c r="H13" s="275">
        <f t="shared" si="8"/>
        <v>645554.65684963425</v>
      </c>
      <c r="I13" s="275">
        <f t="shared" si="8"/>
        <v>1072647.9801762255</v>
      </c>
      <c r="J13" s="275">
        <f t="shared" si="8"/>
        <v>622659.50442477886</v>
      </c>
      <c r="K13" s="275">
        <f t="shared" si="8"/>
        <v>563244.85684963339</v>
      </c>
      <c r="L13" s="275">
        <f t="shared" si="8"/>
        <v>1209301.2118406696</v>
      </c>
      <c r="M13" s="275">
        <f t="shared" si="8"/>
        <v>666335.28863210487</v>
      </c>
      <c r="N13" s="275">
        <f t="shared" si="8"/>
        <v>1005562.8852874837</v>
      </c>
      <c r="O13" s="275">
        <f t="shared" si="8"/>
        <v>373333</v>
      </c>
      <c r="P13" s="275">
        <f t="shared" si="8"/>
        <v>300000</v>
      </c>
      <c r="Q13" s="275">
        <f t="shared" si="8"/>
        <v>300000</v>
      </c>
    </row>
    <row r="14" spans="1:17" ht="12.75" thickBot="1" x14ac:dyDescent="0.25">
      <c r="A14" s="279" t="s">
        <v>364</v>
      </c>
      <c r="B14" s="280"/>
      <c r="C14" s="280"/>
      <c r="D14" s="280"/>
      <c r="E14" s="280"/>
      <c r="F14" s="280"/>
      <c r="G14" s="280"/>
      <c r="H14" s="280"/>
      <c r="I14" s="280"/>
      <c r="J14" s="280"/>
      <c r="K14" s="280"/>
      <c r="L14" s="280"/>
      <c r="M14" s="281"/>
      <c r="N14" s="281"/>
      <c r="O14" s="281"/>
      <c r="P14" s="282"/>
      <c r="Q14" s="282"/>
    </row>
    <row r="15" spans="1:17" ht="12.75" thickBot="1" x14ac:dyDescent="0.25">
      <c r="A15" s="283" t="s">
        <v>365</v>
      </c>
      <c r="B15" s="284">
        <f t="shared" ref="B15:Q15" si="10">IF(+B13-B14&gt;0,+B13-B14,0)</f>
        <v>639861.31681481295</v>
      </c>
      <c r="C15" s="284">
        <f t="shared" ref="C15:G15" si="11">IF(+C13-C14&gt;0,+C13-C14,0)</f>
        <v>642427.62903518253</v>
      </c>
      <c r="D15" s="284">
        <f t="shared" si="11"/>
        <v>644784.08458241762</v>
      </c>
      <c r="E15" s="284">
        <f t="shared" si="11"/>
        <v>668765.45020505716</v>
      </c>
      <c r="F15" s="284">
        <f t="shared" si="11"/>
        <v>683419.93982300907</v>
      </c>
      <c r="G15" s="284">
        <f t="shared" si="11"/>
        <v>701946.10442477919</v>
      </c>
      <c r="H15" s="284">
        <f t="shared" si="10"/>
        <v>645554.65684963425</v>
      </c>
      <c r="I15" s="284">
        <f t="shared" si="10"/>
        <v>1072647.9801762255</v>
      </c>
      <c r="J15" s="284">
        <f t="shared" si="10"/>
        <v>622659.50442477886</v>
      </c>
      <c r="K15" s="284">
        <f t="shared" si="10"/>
        <v>563244.85684963339</v>
      </c>
      <c r="L15" s="284">
        <f t="shared" si="10"/>
        <v>1209301.2118406696</v>
      </c>
      <c r="M15" s="284">
        <f t="shared" si="10"/>
        <v>666335.28863210487</v>
      </c>
      <c r="N15" s="284">
        <f t="shared" si="10"/>
        <v>1005562.8852874837</v>
      </c>
      <c r="O15" s="284">
        <f t="shared" si="10"/>
        <v>373333</v>
      </c>
      <c r="P15" s="284">
        <f t="shared" si="10"/>
        <v>300000</v>
      </c>
      <c r="Q15" s="284">
        <f t="shared" si="10"/>
        <v>300000</v>
      </c>
    </row>
    <row r="16" spans="1:17" ht="12.75" thickBot="1" x14ac:dyDescent="0.25">
      <c r="A16" s="285" t="s">
        <v>278</v>
      </c>
      <c r="B16" s="286">
        <v>0.3</v>
      </c>
      <c r="C16" s="286">
        <v>0.3</v>
      </c>
      <c r="D16" s="286">
        <v>0.3</v>
      </c>
      <c r="E16" s="286">
        <v>0.3</v>
      </c>
      <c r="F16" s="286">
        <v>0.3</v>
      </c>
      <c r="G16" s="286">
        <v>0.3</v>
      </c>
      <c r="H16" s="286">
        <v>0.3</v>
      </c>
      <c r="I16" s="286">
        <v>0.3</v>
      </c>
      <c r="J16" s="286">
        <v>0.28000000000000003</v>
      </c>
      <c r="K16" s="286">
        <v>0.28000000000000003</v>
      </c>
      <c r="L16" s="286">
        <v>0.28000000000000003</v>
      </c>
      <c r="M16" s="287">
        <v>0.28999999999999998</v>
      </c>
      <c r="N16" s="287">
        <v>0.3</v>
      </c>
      <c r="O16" s="287">
        <v>0.33</v>
      </c>
      <c r="P16" s="287">
        <v>0.34</v>
      </c>
      <c r="Q16" s="287">
        <v>0.35</v>
      </c>
    </row>
    <row r="17" spans="1:18" ht="24" x14ac:dyDescent="0.2">
      <c r="A17" s="288" t="s">
        <v>545</v>
      </c>
      <c r="B17" s="273">
        <f t="shared" ref="B17:Q17" si="12">+B15*B16</f>
        <v>191958.39504444387</v>
      </c>
      <c r="C17" s="273">
        <f t="shared" ref="C17:G17" si="13">+C15*C16</f>
        <v>192728.28871055474</v>
      </c>
      <c r="D17" s="273">
        <f t="shared" si="13"/>
        <v>193435.22537472527</v>
      </c>
      <c r="E17" s="273">
        <f t="shared" si="13"/>
        <v>200629.63506151715</v>
      </c>
      <c r="F17" s="273">
        <f t="shared" si="13"/>
        <v>205025.98194690273</v>
      </c>
      <c r="G17" s="273">
        <f t="shared" si="13"/>
        <v>210583.83132743376</v>
      </c>
      <c r="H17" s="273">
        <f t="shared" si="12"/>
        <v>193666.39705489026</v>
      </c>
      <c r="I17" s="273">
        <f t="shared" si="12"/>
        <v>321794.39405286766</v>
      </c>
      <c r="J17" s="273">
        <f>+J15*J16</f>
        <v>174344.6612389381</v>
      </c>
      <c r="K17" s="273">
        <f t="shared" si="12"/>
        <v>157708.55991789736</v>
      </c>
      <c r="L17" s="273">
        <f t="shared" si="12"/>
        <v>338604.33931538754</v>
      </c>
      <c r="M17" s="273">
        <f t="shared" si="12"/>
        <v>193237.2337033104</v>
      </c>
      <c r="N17" s="273">
        <f t="shared" si="12"/>
        <v>301668.86558624508</v>
      </c>
      <c r="O17" s="273">
        <f t="shared" si="12"/>
        <v>123199.89</v>
      </c>
      <c r="P17" s="273">
        <f t="shared" si="12"/>
        <v>102000.00000000001</v>
      </c>
      <c r="Q17" s="273">
        <f t="shared" si="12"/>
        <v>105000</v>
      </c>
    </row>
    <row r="18" spans="1:18" x14ac:dyDescent="0.2">
      <c r="A18" s="289" t="s">
        <v>144</v>
      </c>
      <c r="B18" s="290">
        <f>+H49</f>
        <v>0</v>
      </c>
      <c r="C18" s="290">
        <f t="shared" ref="C18:G18" si="14">+I49</f>
        <v>0</v>
      </c>
      <c r="D18" s="290">
        <f t="shared" si="14"/>
        <v>0</v>
      </c>
      <c r="E18" s="290">
        <f t="shared" si="14"/>
        <v>0</v>
      </c>
      <c r="F18" s="290">
        <f t="shared" si="14"/>
        <v>0</v>
      </c>
      <c r="G18" s="290">
        <f t="shared" si="14"/>
        <v>0</v>
      </c>
      <c r="H18" s="290">
        <f t="shared" ref="H18:J18" si="15">+I49</f>
        <v>0</v>
      </c>
      <c r="I18" s="290">
        <f t="shared" si="15"/>
        <v>0</v>
      </c>
      <c r="J18" s="290">
        <f t="shared" si="15"/>
        <v>0</v>
      </c>
      <c r="K18" s="290">
        <f>+L49</f>
        <v>0</v>
      </c>
      <c r="L18" s="290">
        <f>+M49</f>
        <v>0</v>
      </c>
      <c r="M18" s="290">
        <f>+N49</f>
        <v>3925.5</v>
      </c>
      <c r="N18" s="290">
        <f>+O49+P49</f>
        <v>49500</v>
      </c>
      <c r="O18" s="290">
        <v>0</v>
      </c>
      <c r="P18" s="290">
        <v>0</v>
      </c>
      <c r="Q18" s="290">
        <f>+Q49</f>
        <v>0</v>
      </c>
    </row>
    <row r="19" spans="1:18" x14ac:dyDescent="0.2">
      <c r="A19" s="291" t="s">
        <v>366</v>
      </c>
      <c r="B19" s="292">
        <f t="shared" ref="B19:Q19" si="16">+B17-B18</f>
        <v>191958.39504444387</v>
      </c>
      <c r="C19" s="292">
        <f t="shared" ref="C19:G19" si="17">+C17-C18</f>
        <v>192728.28871055474</v>
      </c>
      <c r="D19" s="292">
        <f t="shared" si="17"/>
        <v>193435.22537472527</v>
      </c>
      <c r="E19" s="292">
        <f t="shared" si="17"/>
        <v>200629.63506151715</v>
      </c>
      <c r="F19" s="292">
        <f t="shared" si="17"/>
        <v>205025.98194690273</v>
      </c>
      <c r="G19" s="292">
        <f t="shared" si="17"/>
        <v>210583.83132743376</v>
      </c>
      <c r="H19" s="292">
        <f t="shared" si="16"/>
        <v>193666.39705489026</v>
      </c>
      <c r="I19" s="292">
        <f t="shared" si="16"/>
        <v>321794.39405286766</v>
      </c>
      <c r="J19" s="292">
        <f t="shared" si="16"/>
        <v>174344.6612389381</v>
      </c>
      <c r="K19" s="292">
        <f t="shared" si="16"/>
        <v>157708.55991789736</v>
      </c>
      <c r="L19" s="292">
        <f t="shared" si="16"/>
        <v>338604.33931538754</v>
      </c>
      <c r="M19" s="292">
        <f t="shared" si="16"/>
        <v>189311.7337033104</v>
      </c>
      <c r="N19" s="292">
        <f t="shared" si="16"/>
        <v>252168.86558624508</v>
      </c>
      <c r="O19" s="292">
        <f t="shared" si="16"/>
        <v>123199.89</v>
      </c>
      <c r="P19" s="292">
        <f t="shared" si="16"/>
        <v>102000.00000000001</v>
      </c>
      <c r="Q19" s="292">
        <f t="shared" si="16"/>
        <v>105000</v>
      </c>
    </row>
    <row r="20" spans="1:18" x14ac:dyDescent="0.2">
      <c r="A20" s="293"/>
      <c r="B20" s="294"/>
      <c r="C20" s="294"/>
      <c r="D20" s="294"/>
      <c r="E20" s="294"/>
      <c r="F20" s="294"/>
      <c r="G20" s="294"/>
      <c r="H20" s="294"/>
      <c r="I20" s="294"/>
      <c r="J20" s="294"/>
      <c r="K20" s="294"/>
      <c r="L20" s="294"/>
      <c r="M20" s="295"/>
      <c r="N20" s="295"/>
      <c r="O20" s="295"/>
      <c r="P20" s="295"/>
      <c r="Q20" s="295"/>
    </row>
    <row r="21" spans="1:18" x14ac:dyDescent="0.2">
      <c r="A21" s="294"/>
      <c r="B21" s="294"/>
      <c r="C21" s="294"/>
      <c r="D21" s="294"/>
      <c r="E21" s="294"/>
      <c r="F21" s="294"/>
      <c r="G21" s="294"/>
      <c r="H21" s="294"/>
      <c r="I21" s="294"/>
      <c r="J21" s="294"/>
      <c r="K21" s="294"/>
      <c r="L21" s="294"/>
      <c r="M21" s="295"/>
      <c r="N21" s="295"/>
      <c r="O21" s="295"/>
      <c r="P21" s="295"/>
      <c r="Q21" s="295"/>
    </row>
    <row r="22" spans="1:18" x14ac:dyDescent="0.2">
      <c r="A22" s="294"/>
      <c r="B22" s="294"/>
      <c r="C22" s="294"/>
      <c r="D22" s="294"/>
      <c r="E22" s="294"/>
      <c r="F22" s="294"/>
      <c r="G22" s="294"/>
      <c r="H22" s="294"/>
      <c r="I22" s="294"/>
      <c r="J22" s="294"/>
      <c r="K22" s="294"/>
      <c r="L22" s="294"/>
      <c r="M22" s="295"/>
      <c r="N22" s="295"/>
      <c r="O22" s="295"/>
      <c r="P22" s="295"/>
      <c r="Q22" s="295"/>
    </row>
    <row r="23" spans="1:18" ht="12.75" thickBot="1" x14ac:dyDescent="0.25">
      <c r="A23" s="259" t="s">
        <v>154</v>
      </c>
      <c r="B23" s="259"/>
      <c r="C23" s="259"/>
      <c r="D23" s="259"/>
      <c r="E23" s="259"/>
      <c r="F23" s="259"/>
      <c r="G23" s="259"/>
      <c r="H23" s="259"/>
      <c r="I23" s="259"/>
      <c r="J23" s="259"/>
      <c r="K23" s="259"/>
      <c r="L23" s="259"/>
      <c r="M23" s="259"/>
      <c r="N23" s="259"/>
      <c r="O23" s="259"/>
      <c r="P23" s="259"/>
      <c r="Q23" s="259"/>
    </row>
    <row r="24" spans="1:18" x14ac:dyDescent="0.2">
      <c r="A24" s="931"/>
      <c r="B24" s="932">
        <f t="shared" ref="B24:G24" si="18">+B3</f>
        <v>2017</v>
      </c>
      <c r="C24" s="932">
        <f t="shared" si="18"/>
        <v>2016</v>
      </c>
      <c r="D24" s="932">
        <f t="shared" si="18"/>
        <v>2015</v>
      </c>
      <c r="E24" s="932">
        <f t="shared" si="18"/>
        <v>2014</v>
      </c>
      <c r="F24" s="932">
        <f t="shared" si="18"/>
        <v>2013</v>
      </c>
      <c r="G24" s="932">
        <f t="shared" si="18"/>
        <v>2012</v>
      </c>
      <c r="H24" s="932">
        <f>+H3</f>
        <v>2011</v>
      </c>
      <c r="I24" s="932">
        <f>+I3</f>
        <v>2010</v>
      </c>
      <c r="J24" s="932">
        <f>+J3</f>
        <v>2009</v>
      </c>
      <c r="K24" s="932">
        <f t="shared" ref="K24:Q24" si="19">+K3</f>
        <v>2008</v>
      </c>
      <c r="L24" s="932">
        <f t="shared" si="19"/>
        <v>2007</v>
      </c>
      <c r="M24" s="932">
        <f t="shared" si="19"/>
        <v>2006</v>
      </c>
      <c r="N24" s="932">
        <f t="shared" si="19"/>
        <v>2005</v>
      </c>
      <c r="O24" s="932">
        <f t="shared" si="19"/>
        <v>2004</v>
      </c>
      <c r="P24" s="932">
        <f t="shared" si="19"/>
        <v>2003</v>
      </c>
      <c r="Q24" s="932">
        <f t="shared" si="19"/>
        <v>2002</v>
      </c>
    </row>
    <row r="25" spans="1:18" x14ac:dyDescent="0.2">
      <c r="A25" s="320" t="s">
        <v>978</v>
      </c>
      <c r="B25" s="933"/>
      <c r="C25" s="933"/>
      <c r="D25" s="933"/>
      <c r="E25" s="933"/>
      <c r="F25" s="408"/>
      <c r="G25" s="408"/>
      <c r="H25" s="408"/>
      <c r="I25" s="408"/>
      <c r="J25" s="408"/>
      <c r="K25" s="408"/>
      <c r="L25" s="408"/>
      <c r="M25" s="408"/>
      <c r="N25" s="408"/>
      <c r="O25" s="408"/>
      <c r="P25" s="408"/>
      <c r="Q25" s="408"/>
      <c r="R25" s="190"/>
    </row>
    <row r="26" spans="1:18" x14ac:dyDescent="0.2">
      <c r="A26" s="320" t="s">
        <v>828</v>
      </c>
      <c r="B26" s="436">
        <f t="shared" ref="B26" si="20">+C27</f>
        <v>71435.490392467851</v>
      </c>
      <c r="C26" s="436">
        <f t="shared" ref="C26" si="21">+D27</f>
        <v>71927.274889495879</v>
      </c>
      <c r="D26" s="436">
        <f t="shared" ref="D26" si="22">+E27</f>
        <v>74488.664312541121</v>
      </c>
      <c r="E26" s="436">
        <f t="shared" ref="E26" si="23">+F27</f>
        <v>76121.192920354006</v>
      </c>
      <c r="F26" s="436">
        <f t="shared" ref="F26" si="24">+G27</f>
        <v>77791.989380531013</v>
      </c>
      <c r="G26" s="436">
        <f t="shared" ref="G26" si="25">+H27</f>
        <v>75973.789380530987</v>
      </c>
      <c r="H26" s="436">
        <f t="shared" ref="H26:Q26" si="26">+I27</f>
        <v>114183.23695567565</v>
      </c>
      <c r="I26" s="436">
        <f t="shared" si="26"/>
        <v>69184.389380530978</v>
      </c>
      <c r="J26" s="436">
        <f t="shared" si="26"/>
        <v>69184.389380530891</v>
      </c>
      <c r="K26" s="436">
        <f t="shared" si="26"/>
        <v>128599.03695567552</v>
      </c>
      <c r="L26" s="436">
        <f t="shared" si="26"/>
        <v>76689.157716085334</v>
      </c>
      <c r="M26" s="436">
        <f t="shared" si="26"/>
        <v>100556.28852874838</v>
      </c>
      <c r="N26" s="436">
        <f t="shared" si="26"/>
        <v>37333.300000000003</v>
      </c>
      <c r="O26" s="436">
        <f t="shared" si="26"/>
        <v>30000</v>
      </c>
      <c r="P26" s="436">
        <f t="shared" si="26"/>
        <v>30000</v>
      </c>
      <c r="Q26" s="436">
        <f t="shared" si="26"/>
        <v>0</v>
      </c>
      <c r="R26" s="190"/>
    </row>
    <row r="27" spans="1:18" ht="24" x14ac:dyDescent="0.2">
      <c r="A27" s="272" t="s">
        <v>979</v>
      </c>
      <c r="B27" s="436">
        <f t="shared" ref="B27:G27" si="27">IF(+B11*0.1&gt;0,+B11*0.1,0)</f>
        <v>71129.68072072808</v>
      </c>
      <c r="C27" s="436">
        <f t="shared" si="27"/>
        <v>71435.490392467851</v>
      </c>
      <c r="D27" s="436">
        <f t="shared" si="27"/>
        <v>71927.274889495879</v>
      </c>
      <c r="E27" s="436">
        <f t="shared" si="27"/>
        <v>74488.664312541121</v>
      </c>
      <c r="F27" s="436">
        <f t="shared" si="27"/>
        <v>76121.192920354006</v>
      </c>
      <c r="G27" s="436">
        <f t="shared" si="27"/>
        <v>77791.989380531013</v>
      </c>
      <c r="H27" s="436">
        <f t="shared" ref="H27:J27" si="28">IF(+H11*0.1&gt;0,+H11*0.1,0)</f>
        <v>75973.789380530987</v>
      </c>
      <c r="I27" s="436">
        <f t="shared" si="28"/>
        <v>114183.23695567565</v>
      </c>
      <c r="J27" s="436">
        <f t="shared" si="28"/>
        <v>69184.389380530978</v>
      </c>
      <c r="K27" s="436">
        <f>IF(+K11*0.1&gt;0,+K11*0.1,0)</f>
        <v>69184.389380530891</v>
      </c>
      <c r="L27" s="436">
        <f t="shared" ref="L27:Q27" si="29">IF(+L11*0.1&gt;0,+L11*0.1,0)</f>
        <v>128599.03695567552</v>
      </c>
      <c r="M27" s="436">
        <f t="shared" si="29"/>
        <v>76689.157716085334</v>
      </c>
      <c r="N27" s="436">
        <f t="shared" si="29"/>
        <v>100556.28852874838</v>
      </c>
      <c r="O27" s="436">
        <f t="shared" si="29"/>
        <v>37333.300000000003</v>
      </c>
      <c r="P27" s="436">
        <f t="shared" si="29"/>
        <v>30000</v>
      </c>
      <c r="Q27" s="436">
        <f t="shared" si="29"/>
        <v>30000</v>
      </c>
      <c r="R27" s="190"/>
    </row>
    <row r="30" spans="1:18" ht="12.75" thickBot="1" x14ac:dyDescent="0.25">
      <c r="A30" s="296" t="s">
        <v>138</v>
      </c>
      <c r="B30" s="296"/>
      <c r="C30" s="296"/>
      <c r="D30" s="296"/>
      <c r="E30" s="296"/>
      <c r="F30" s="296"/>
      <c r="G30" s="296"/>
      <c r="H30" s="296"/>
      <c r="I30" s="296"/>
      <c r="J30" s="296"/>
      <c r="K30" s="296"/>
      <c r="L30" s="296"/>
    </row>
    <row r="31" spans="1:18" s="299" customFormat="1" ht="12.75" thickBot="1" x14ac:dyDescent="0.25">
      <c r="A31" s="297"/>
      <c r="B31" s="298">
        <f t="shared" ref="B31:G31" si="30">+B24</f>
        <v>2017</v>
      </c>
      <c r="C31" s="298">
        <f t="shared" si="30"/>
        <v>2016</v>
      </c>
      <c r="D31" s="298">
        <f t="shared" si="30"/>
        <v>2015</v>
      </c>
      <c r="E31" s="298">
        <f t="shared" si="30"/>
        <v>2014</v>
      </c>
      <c r="F31" s="298">
        <f t="shared" si="30"/>
        <v>2013</v>
      </c>
      <c r="G31" s="298">
        <f t="shared" si="30"/>
        <v>2012</v>
      </c>
      <c r="H31" s="298">
        <f>+H24</f>
        <v>2011</v>
      </c>
      <c r="I31" s="298">
        <f>+I24</f>
        <v>2010</v>
      </c>
      <c r="J31" s="298">
        <v>2009</v>
      </c>
      <c r="K31" s="298">
        <v>2008</v>
      </c>
      <c r="L31" s="298">
        <v>2007</v>
      </c>
      <c r="M31" s="298">
        <v>2006</v>
      </c>
      <c r="N31" s="298">
        <v>2005</v>
      </c>
      <c r="O31" s="298">
        <v>2004</v>
      </c>
      <c r="P31" s="298">
        <v>2003</v>
      </c>
      <c r="Q31" s="298">
        <v>2002</v>
      </c>
    </row>
    <row r="32" spans="1:18" ht="12.75" thickBot="1" x14ac:dyDescent="0.25">
      <c r="A32" s="300" t="s">
        <v>365</v>
      </c>
      <c r="B32" s="301">
        <f t="shared" ref="B32:G32" si="31">+B15</f>
        <v>639861.31681481295</v>
      </c>
      <c r="C32" s="301">
        <f t="shared" si="31"/>
        <v>642427.62903518253</v>
      </c>
      <c r="D32" s="301">
        <f t="shared" si="31"/>
        <v>644784.08458241762</v>
      </c>
      <c r="E32" s="301">
        <f t="shared" si="31"/>
        <v>668765.45020505716</v>
      </c>
      <c r="F32" s="301">
        <f t="shared" si="31"/>
        <v>683419.93982300907</v>
      </c>
      <c r="G32" s="301">
        <f t="shared" si="31"/>
        <v>701946.10442477919</v>
      </c>
      <c r="H32" s="301">
        <f>+H15</f>
        <v>645554.65684963425</v>
      </c>
      <c r="I32" s="301">
        <f>+I15</f>
        <v>1072647.9801762255</v>
      </c>
      <c r="J32" s="301">
        <f>+J15</f>
        <v>622659.50442477886</v>
      </c>
      <c r="K32" s="301">
        <f>+K15</f>
        <v>563244.85684963339</v>
      </c>
      <c r="L32" s="301">
        <f t="shared" ref="L32:Q32" si="32">+L15</f>
        <v>1209301.2118406696</v>
      </c>
      <c r="M32" s="301">
        <f t="shared" si="32"/>
        <v>666335.28863210487</v>
      </c>
      <c r="N32" s="301">
        <f t="shared" si="32"/>
        <v>1005562.8852874837</v>
      </c>
      <c r="O32" s="301">
        <f t="shared" si="32"/>
        <v>373333</v>
      </c>
      <c r="P32" s="301">
        <f t="shared" si="32"/>
        <v>300000</v>
      </c>
      <c r="Q32" s="301">
        <f t="shared" si="32"/>
        <v>300000</v>
      </c>
    </row>
    <row r="33" spans="1:17" ht="12.75" thickBot="1" x14ac:dyDescent="0.25">
      <c r="A33" s="300" t="s">
        <v>145</v>
      </c>
      <c r="B33" s="302">
        <f>+'CCF ISR'!B54</f>
        <v>15000</v>
      </c>
      <c r="C33" s="302">
        <f>+'CCF ISR'!C54</f>
        <v>15000</v>
      </c>
      <c r="D33" s="302">
        <f>+'CCF ISR'!D54</f>
        <v>15000</v>
      </c>
      <c r="E33" s="302">
        <f>+'CCF ISR'!E54</f>
        <v>15000</v>
      </c>
      <c r="F33" s="302">
        <f>+'CCF ISR'!F54</f>
        <v>15000</v>
      </c>
      <c r="G33" s="302">
        <f>+'CCF ISR'!G54</f>
        <v>15000</v>
      </c>
      <c r="H33" s="302">
        <f>+'CCF ISR'!H54</f>
        <v>15000</v>
      </c>
      <c r="I33" s="302">
        <f>+'CCF ISR'!I54</f>
        <v>15000</v>
      </c>
      <c r="J33" s="302">
        <f>+'CCF ISR'!J54</f>
        <v>15000</v>
      </c>
      <c r="K33" s="302">
        <f>+'CCF ISR'!K54</f>
        <v>15000</v>
      </c>
      <c r="L33" s="302">
        <f>+'CCF ISR'!L54</f>
        <v>15000</v>
      </c>
      <c r="M33" s="302">
        <f>+'CCF ISR'!M54</f>
        <v>15000</v>
      </c>
      <c r="N33" s="302">
        <f>+'CCF ISR'!N54</f>
        <v>15000</v>
      </c>
      <c r="O33" s="302">
        <f>+'CCF ISR'!O54</f>
        <v>15000</v>
      </c>
      <c r="P33" s="302">
        <f>+'CCF ISR'!P54</f>
        <v>0</v>
      </c>
      <c r="Q33" s="302">
        <f>+'CCF ISR'!Q54</f>
        <v>0</v>
      </c>
    </row>
    <row r="34" spans="1:17" ht="12.75" thickBot="1" x14ac:dyDescent="0.25">
      <c r="A34" s="300" t="s">
        <v>816</v>
      </c>
      <c r="B34" s="302">
        <f t="shared" ref="B34:G34" si="33">+B27</f>
        <v>71129.68072072808</v>
      </c>
      <c r="C34" s="302">
        <f t="shared" si="33"/>
        <v>71435.490392467851</v>
      </c>
      <c r="D34" s="302">
        <f t="shared" si="33"/>
        <v>71927.274889495879</v>
      </c>
      <c r="E34" s="302">
        <f t="shared" si="33"/>
        <v>74488.664312541121</v>
      </c>
      <c r="F34" s="302">
        <f t="shared" si="33"/>
        <v>76121.192920354006</v>
      </c>
      <c r="G34" s="302">
        <f t="shared" si="33"/>
        <v>77791.989380531013</v>
      </c>
      <c r="H34" s="302">
        <f>+H27</f>
        <v>75973.789380530987</v>
      </c>
      <c r="I34" s="302">
        <f>+I27</f>
        <v>114183.23695567565</v>
      </c>
      <c r="J34" s="302">
        <f>+J27</f>
        <v>69184.389380530978</v>
      </c>
      <c r="K34" s="302">
        <f>+K27</f>
        <v>69184.389380530891</v>
      </c>
      <c r="L34" s="302">
        <f t="shared" ref="L34:Q34" si="34">+L27</f>
        <v>128599.03695567552</v>
      </c>
      <c r="M34" s="302">
        <f t="shared" si="34"/>
        <v>76689.157716085334</v>
      </c>
      <c r="N34" s="302">
        <f t="shared" si="34"/>
        <v>100556.28852874838</v>
      </c>
      <c r="O34" s="302">
        <f t="shared" si="34"/>
        <v>37333.300000000003</v>
      </c>
      <c r="P34" s="302">
        <f t="shared" si="34"/>
        <v>30000</v>
      </c>
      <c r="Q34" s="302">
        <f t="shared" si="34"/>
        <v>30000</v>
      </c>
    </row>
    <row r="35" spans="1:17" ht="12.75" thickBot="1" x14ac:dyDescent="0.25">
      <c r="A35" s="300" t="s">
        <v>366</v>
      </c>
      <c r="B35" s="303">
        <f t="shared" ref="B35:G35" si="35">+B17</f>
        <v>191958.39504444387</v>
      </c>
      <c r="C35" s="303">
        <f t="shared" si="35"/>
        <v>192728.28871055474</v>
      </c>
      <c r="D35" s="303">
        <f t="shared" si="35"/>
        <v>193435.22537472527</v>
      </c>
      <c r="E35" s="303">
        <f t="shared" si="35"/>
        <v>200629.63506151715</v>
      </c>
      <c r="F35" s="303">
        <f t="shared" si="35"/>
        <v>205025.98194690273</v>
      </c>
      <c r="G35" s="303">
        <f t="shared" si="35"/>
        <v>210583.83132743376</v>
      </c>
      <c r="H35" s="303">
        <f>+H17</f>
        <v>193666.39705489026</v>
      </c>
      <c r="I35" s="303">
        <f>+I17</f>
        <v>321794.39405286766</v>
      </c>
      <c r="J35" s="303">
        <f>+J17</f>
        <v>174344.6612389381</v>
      </c>
      <c r="K35" s="303">
        <f>+K17</f>
        <v>157708.55991789736</v>
      </c>
      <c r="L35" s="303">
        <f t="shared" ref="L35:Q35" si="36">+L17</f>
        <v>338604.33931538754</v>
      </c>
      <c r="M35" s="303">
        <f t="shared" si="36"/>
        <v>193237.2337033104</v>
      </c>
      <c r="N35" s="303">
        <f t="shared" si="36"/>
        <v>301668.86558624508</v>
      </c>
      <c r="O35" s="303">
        <f t="shared" si="36"/>
        <v>123199.89</v>
      </c>
      <c r="P35" s="303">
        <f t="shared" si="36"/>
        <v>102000.00000000001</v>
      </c>
      <c r="Q35" s="303">
        <f t="shared" si="36"/>
        <v>105000</v>
      </c>
    </row>
    <row r="36" spans="1:17" ht="12.75" thickBot="1" x14ac:dyDescent="0.25">
      <c r="A36" s="304" t="s">
        <v>155</v>
      </c>
      <c r="B36" s="305">
        <f t="shared" ref="B36:G36" si="37">+B32-B33-B34-B35</f>
        <v>361773.24104964093</v>
      </c>
      <c r="C36" s="305">
        <f t="shared" si="37"/>
        <v>363263.84993216</v>
      </c>
      <c r="D36" s="305">
        <f t="shared" si="37"/>
        <v>364421.5843181964</v>
      </c>
      <c r="E36" s="305">
        <f t="shared" si="37"/>
        <v>378647.1508309989</v>
      </c>
      <c r="F36" s="305">
        <f t="shared" si="37"/>
        <v>387272.76495575241</v>
      </c>
      <c r="G36" s="305">
        <f t="shared" si="37"/>
        <v>398570.28371681442</v>
      </c>
      <c r="H36" s="305">
        <f>+H32-H33-H34-H35</f>
        <v>360914.47041421302</v>
      </c>
      <c r="I36" s="305">
        <f>+I32-I33-I34-I35</f>
        <v>621670.34916768223</v>
      </c>
      <c r="J36" s="305">
        <f>+J32-J33-J34-J35</f>
        <v>364130.45380530972</v>
      </c>
      <c r="K36" s="305">
        <f>+K32-K33-K34-K35</f>
        <v>321351.90755120513</v>
      </c>
      <c r="L36" s="305">
        <f t="shared" ref="L36:Q36" si="38">+L32-L33-L34-L35</f>
        <v>727097.83556960651</v>
      </c>
      <c r="M36" s="305">
        <f t="shared" si="38"/>
        <v>381408.89721270918</v>
      </c>
      <c r="N36" s="305">
        <f t="shared" si="38"/>
        <v>588337.73117249028</v>
      </c>
      <c r="O36" s="305">
        <f t="shared" si="38"/>
        <v>197799.81</v>
      </c>
      <c r="P36" s="305">
        <f t="shared" si="38"/>
        <v>168000</v>
      </c>
      <c r="Q36" s="305">
        <f t="shared" si="38"/>
        <v>165000</v>
      </c>
    </row>
    <row r="37" spans="1:17" ht="12.75" thickBot="1" x14ac:dyDescent="0.25">
      <c r="A37" s="300" t="s">
        <v>146</v>
      </c>
      <c r="B37" s="303">
        <f t="shared" ref="B37" si="39">+C41</f>
        <v>3572776.3817505864</v>
      </c>
      <c r="C37" s="303">
        <f t="shared" ref="C37" si="40">+D41</f>
        <v>3359512.5318184267</v>
      </c>
      <c r="D37" s="303">
        <f t="shared" ref="D37" si="41">+E41</f>
        <v>3145090.9475002303</v>
      </c>
      <c r="E37" s="303">
        <f t="shared" ref="E37" si="42">+F41</f>
        <v>2916443.7966692313</v>
      </c>
      <c r="F37" s="303">
        <f t="shared" ref="F37" si="43">+G41</f>
        <v>2679171.0317134787</v>
      </c>
      <c r="G37" s="303">
        <f t="shared" ref="G37" si="44">+H41</f>
        <v>2430600.7479966641</v>
      </c>
      <c r="H37" s="303">
        <f t="shared" ref="H37" si="45">+I41</f>
        <v>2219686.2775824512</v>
      </c>
      <c r="I37" s="303">
        <f t="shared" ref="I37" si="46">+J41</f>
        <v>1748015.928414769</v>
      </c>
      <c r="J37" s="303">
        <f t="shared" ref="J37" si="47">+K41</f>
        <v>1533885.4746094593</v>
      </c>
      <c r="K37" s="303">
        <f t="shared" ref="K37" si="48">+L41</f>
        <v>1362533.567058254</v>
      </c>
      <c r="L37" s="303">
        <f t="shared" ref="L37" si="49">+M41</f>
        <v>785435.73148864764</v>
      </c>
      <c r="M37" s="303">
        <f t="shared" ref="M37" si="50">+N41</f>
        <v>563637.54117249022</v>
      </c>
      <c r="N37" s="303">
        <f t="shared" ref="N37" si="51">+O41</f>
        <v>240799.81</v>
      </c>
      <c r="O37" s="303">
        <f t="shared" ref="O37" si="52">+P41</f>
        <v>43000</v>
      </c>
      <c r="P37" s="303">
        <f t="shared" ref="P37" si="53">+Q41</f>
        <v>25000</v>
      </c>
      <c r="Q37" s="303">
        <v>0</v>
      </c>
    </row>
    <row r="38" spans="1:17" ht="12.75" thickBot="1" x14ac:dyDescent="0.25">
      <c r="A38" s="300" t="s">
        <v>147</v>
      </c>
      <c r="B38" s="303">
        <f t="shared" ref="B38:G38" si="54">+B45</f>
        <v>150000</v>
      </c>
      <c r="C38" s="303">
        <f t="shared" si="54"/>
        <v>150000</v>
      </c>
      <c r="D38" s="303">
        <f t="shared" si="54"/>
        <v>150000</v>
      </c>
      <c r="E38" s="303">
        <f t="shared" si="54"/>
        <v>150000</v>
      </c>
      <c r="F38" s="303">
        <f t="shared" si="54"/>
        <v>150000</v>
      </c>
      <c r="G38" s="303">
        <f t="shared" si="54"/>
        <v>150000</v>
      </c>
      <c r="H38" s="303">
        <f t="shared" ref="H38" si="55">+H45</f>
        <v>150000</v>
      </c>
      <c r="I38" s="303">
        <f t="shared" ref="I38:N38" si="56">+I45</f>
        <v>150000</v>
      </c>
      <c r="J38" s="303">
        <f t="shared" si="56"/>
        <v>150000</v>
      </c>
      <c r="K38" s="303">
        <f t="shared" si="56"/>
        <v>150000</v>
      </c>
      <c r="L38" s="303">
        <f t="shared" si="56"/>
        <v>150000</v>
      </c>
      <c r="M38" s="303">
        <f t="shared" si="56"/>
        <v>150000</v>
      </c>
      <c r="N38" s="303">
        <f t="shared" si="56"/>
        <v>150000</v>
      </c>
      <c r="O38" s="303"/>
      <c r="P38" s="303">
        <v>150000</v>
      </c>
      <c r="Q38" s="303">
        <f>+Q45</f>
        <v>140000</v>
      </c>
    </row>
    <row r="39" spans="1:17" ht="24" x14ac:dyDescent="0.2">
      <c r="A39" s="306" t="s">
        <v>161</v>
      </c>
      <c r="B39" s="307">
        <f t="shared" ref="B39:G39" si="57">+B36+B37-B38</f>
        <v>3784549.6228002273</v>
      </c>
      <c r="C39" s="307">
        <f t="shared" si="57"/>
        <v>3572776.3817505864</v>
      </c>
      <c r="D39" s="307">
        <f t="shared" si="57"/>
        <v>3359512.5318184267</v>
      </c>
      <c r="E39" s="307">
        <f t="shared" si="57"/>
        <v>3145090.9475002303</v>
      </c>
      <c r="F39" s="307">
        <f t="shared" si="57"/>
        <v>2916443.7966692313</v>
      </c>
      <c r="G39" s="307">
        <f t="shared" si="57"/>
        <v>2679171.0317134787</v>
      </c>
      <c r="H39" s="307">
        <f>+H36+H37-H38</f>
        <v>2430600.7479966641</v>
      </c>
      <c r="I39" s="307">
        <f>+I36+I37-I38</f>
        <v>2219686.2775824512</v>
      </c>
      <c r="J39" s="307">
        <f>+J36+J37-J38</f>
        <v>1748015.928414769</v>
      </c>
      <c r="K39" s="307">
        <f>+K36+K37-K38</f>
        <v>1533885.4746094593</v>
      </c>
      <c r="L39" s="307">
        <f t="shared" ref="L39:Q39" si="58">+L36+L37-L38</f>
        <v>1362533.567058254</v>
      </c>
      <c r="M39" s="307">
        <f t="shared" si="58"/>
        <v>795046.43838519941</v>
      </c>
      <c r="N39" s="307">
        <f t="shared" si="58"/>
        <v>679137.54117249022</v>
      </c>
      <c r="O39" s="307">
        <f t="shared" si="58"/>
        <v>240799.81</v>
      </c>
      <c r="P39" s="307">
        <f t="shared" si="58"/>
        <v>43000</v>
      </c>
      <c r="Q39" s="307">
        <f t="shared" si="58"/>
        <v>25000</v>
      </c>
    </row>
    <row r="40" spans="1:17" ht="24" x14ac:dyDescent="0.2">
      <c r="A40" s="308" t="s">
        <v>160</v>
      </c>
      <c r="B40" s="309"/>
      <c r="C40" s="309"/>
      <c r="D40" s="309"/>
      <c r="E40" s="309"/>
      <c r="F40" s="309"/>
      <c r="G40" s="309"/>
      <c r="H40" s="309"/>
      <c r="I40" s="309"/>
      <c r="J40" s="309"/>
      <c r="K40" s="309"/>
      <c r="L40" s="309"/>
      <c r="M40" s="246">
        <f>+M18/M59</f>
        <v>9610.706896551721</v>
      </c>
      <c r="N40" s="246">
        <f>+N18/N59</f>
        <v>115499.99999999999</v>
      </c>
      <c r="O40" s="246"/>
      <c r="P40" s="246"/>
      <c r="Q40" s="246"/>
    </row>
    <row r="41" spans="1:17" x14ac:dyDescent="0.2">
      <c r="A41" s="310" t="s">
        <v>148</v>
      </c>
      <c r="B41" s="193">
        <f t="shared" ref="B41:G41" si="59">+B39-B40</f>
        <v>3784549.6228002273</v>
      </c>
      <c r="C41" s="193">
        <f t="shared" si="59"/>
        <v>3572776.3817505864</v>
      </c>
      <c r="D41" s="193">
        <f t="shared" si="59"/>
        <v>3359512.5318184267</v>
      </c>
      <c r="E41" s="193">
        <f t="shared" si="59"/>
        <v>3145090.9475002303</v>
      </c>
      <c r="F41" s="193">
        <f t="shared" si="59"/>
        <v>2916443.7966692313</v>
      </c>
      <c r="G41" s="193">
        <f t="shared" si="59"/>
        <v>2679171.0317134787</v>
      </c>
      <c r="H41" s="193">
        <f>+H39-H40</f>
        <v>2430600.7479966641</v>
      </c>
      <c r="I41" s="193">
        <f>+I39-I40</f>
        <v>2219686.2775824512</v>
      </c>
      <c r="J41" s="193">
        <f>+J39-J40</f>
        <v>1748015.928414769</v>
      </c>
      <c r="K41" s="193">
        <f>+K39-K40</f>
        <v>1533885.4746094593</v>
      </c>
      <c r="L41" s="193">
        <f t="shared" ref="L41:Q41" si="60">+L39-L40</f>
        <v>1362533.567058254</v>
      </c>
      <c r="M41" s="193">
        <f t="shared" si="60"/>
        <v>785435.73148864764</v>
      </c>
      <c r="N41" s="193">
        <f t="shared" si="60"/>
        <v>563637.54117249022</v>
      </c>
      <c r="O41" s="193">
        <f t="shared" si="60"/>
        <v>240799.81</v>
      </c>
      <c r="P41" s="193">
        <f t="shared" si="60"/>
        <v>43000</v>
      </c>
      <c r="Q41" s="193">
        <f t="shared" si="60"/>
        <v>25000</v>
      </c>
    </row>
    <row r="42" spans="1:17" x14ac:dyDescent="0.2">
      <c r="M42" s="190"/>
      <c r="N42" s="190"/>
      <c r="O42" s="190"/>
      <c r="P42" s="190"/>
      <c r="Q42" s="190"/>
    </row>
    <row r="43" spans="1:17" ht="12.75" thickBot="1" x14ac:dyDescent="0.25">
      <c r="A43" s="311" t="s">
        <v>156</v>
      </c>
      <c r="B43" s="311"/>
      <c r="C43" s="311"/>
      <c r="D43" s="311"/>
      <c r="E43" s="311"/>
      <c r="F43" s="311"/>
      <c r="G43" s="311"/>
      <c r="H43" s="311"/>
      <c r="I43" s="311"/>
      <c r="J43" s="311"/>
      <c r="K43" s="311"/>
      <c r="L43" s="312"/>
      <c r="M43" s="190"/>
      <c r="N43" s="190"/>
      <c r="O43" s="190"/>
      <c r="P43" s="190"/>
      <c r="Q43" s="190"/>
    </row>
    <row r="44" spans="1:17" ht="12.75" thickBot="1" x14ac:dyDescent="0.25">
      <c r="A44" s="313"/>
      <c r="B44" s="314">
        <f t="shared" ref="B44:G44" si="61">+B24</f>
        <v>2017</v>
      </c>
      <c r="C44" s="314">
        <f t="shared" si="61"/>
        <v>2016</v>
      </c>
      <c r="D44" s="314">
        <f t="shared" si="61"/>
        <v>2015</v>
      </c>
      <c r="E44" s="314">
        <f t="shared" si="61"/>
        <v>2014</v>
      </c>
      <c r="F44" s="314">
        <f t="shared" si="61"/>
        <v>2013</v>
      </c>
      <c r="G44" s="314">
        <f t="shared" si="61"/>
        <v>2012</v>
      </c>
      <c r="H44" s="314">
        <f>+H24</f>
        <v>2011</v>
      </c>
      <c r="I44" s="314">
        <f>+I24</f>
        <v>2010</v>
      </c>
      <c r="J44" s="314">
        <f>+J24</f>
        <v>2009</v>
      </c>
      <c r="K44" s="314">
        <f t="shared" ref="K44:Q44" si="62">+K24</f>
        <v>2008</v>
      </c>
      <c r="L44" s="314">
        <f t="shared" si="62"/>
        <v>2007</v>
      </c>
      <c r="M44" s="314">
        <f t="shared" si="62"/>
        <v>2006</v>
      </c>
      <c r="N44" s="314">
        <f t="shared" si="62"/>
        <v>2005</v>
      </c>
      <c r="O44" s="314">
        <f t="shared" si="62"/>
        <v>2004</v>
      </c>
      <c r="P44" s="314">
        <f t="shared" si="62"/>
        <v>2003</v>
      </c>
      <c r="Q44" s="314">
        <f t="shared" si="62"/>
        <v>2002</v>
      </c>
    </row>
    <row r="45" spans="1:17" ht="30" customHeight="1" thickBot="1" x14ac:dyDescent="0.25">
      <c r="A45" s="315" t="s">
        <v>149</v>
      </c>
      <c r="B45" s="302">
        <v>150000</v>
      </c>
      <c r="C45" s="302">
        <v>150000</v>
      </c>
      <c r="D45" s="302">
        <v>150000</v>
      </c>
      <c r="E45" s="302">
        <v>150000</v>
      </c>
      <c r="F45" s="302">
        <v>150000</v>
      </c>
      <c r="G45" s="302">
        <v>150000</v>
      </c>
      <c r="H45" s="302">
        <v>150000</v>
      </c>
      <c r="I45" s="302">
        <v>150000</v>
      </c>
      <c r="J45" s="302">
        <v>150000</v>
      </c>
      <c r="K45" s="302">
        <v>150000</v>
      </c>
      <c r="L45" s="302">
        <v>150000</v>
      </c>
      <c r="M45" s="302">
        <v>150000</v>
      </c>
      <c r="N45" s="302">
        <v>150000</v>
      </c>
      <c r="O45" s="302">
        <v>150000</v>
      </c>
      <c r="P45" s="302">
        <v>150000</v>
      </c>
      <c r="Q45" s="302">
        <v>140000</v>
      </c>
    </row>
    <row r="46" spans="1:17" ht="12.75" thickBot="1" x14ac:dyDescent="0.25">
      <c r="A46" s="315" t="s">
        <v>150</v>
      </c>
      <c r="B46" s="303">
        <f t="shared" ref="B46:G46" si="63">+B45</f>
        <v>150000</v>
      </c>
      <c r="C46" s="303">
        <f t="shared" si="63"/>
        <v>150000</v>
      </c>
      <c r="D46" s="303">
        <f t="shared" si="63"/>
        <v>150000</v>
      </c>
      <c r="E46" s="303">
        <f t="shared" si="63"/>
        <v>150000</v>
      </c>
      <c r="F46" s="303">
        <f t="shared" si="63"/>
        <v>150000</v>
      </c>
      <c r="G46" s="303">
        <f t="shared" si="63"/>
        <v>150000</v>
      </c>
      <c r="H46" s="303">
        <f t="shared" ref="H46" si="64">+H45</f>
        <v>150000</v>
      </c>
      <c r="I46" s="303">
        <f>+I45</f>
        <v>150000</v>
      </c>
      <c r="J46" s="303">
        <f>+J45</f>
        <v>150000</v>
      </c>
      <c r="K46" s="303">
        <f>+K45</f>
        <v>150000</v>
      </c>
      <c r="L46" s="303">
        <f>+L45</f>
        <v>150000</v>
      </c>
      <c r="M46" s="303">
        <f>+M45</f>
        <v>150000</v>
      </c>
      <c r="N46" s="303">
        <v>136915</v>
      </c>
      <c r="O46" s="303">
        <v>0</v>
      </c>
      <c r="P46" s="303">
        <f>+P45</f>
        <v>150000</v>
      </c>
      <c r="Q46" s="303">
        <f>+Q45</f>
        <v>140000</v>
      </c>
    </row>
    <row r="47" spans="1:17" ht="12.75" thickBot="1" x14ac:dyDescent="0.25">
      <c r="A47" s="315" t="s">
        <v>151</v>
      </c>
      <c r="B47" s="316"/>
      <c r="C47" s="316"/>
      <c r="D47" s="316"/>
      <c r="E47" s="316"/>
      <c r="F47" s="316"/>
      <c r="G47" s="316"/>
      <c r="H47" s="316"/>
      <c r="I47" s="302">
        <f>IF(+I45-I46&gt;0,+I45-I46,0)</f>
        <v>0</v>
      </c>
      <c r="J47" s="302">
        <f>IF(+J45-J46&gt;0,+J45-J46,0)</f>
        <v>0</v>
      </c>
      <c r="K47" s="302">
        <f>IF(+K45-K46&gt;0,+K45-K46,0)</f>
        <v>0</v>
      </c>
      <c r="L47" s="302">
        <f t="shared" ref="L47:Q47" si="65">IF(+L45-L46&gt;0,+L45-L46,0)</f>
        <v>0</v>
      </c>
      <c r="M47" s="302">
        <f t="shared" si="65"/>
        <v>0</v>
      </c>
      <c r="N47" s="302">
        <f t="shared" si="65"/>
        <v>13085</v>
      </c>
      <c r="O47" s="302">
        <f t="shared" si="65"/>
        <v>150000</v>
      </c>
      <c r="P47" s="302">
        <f t="shared" si="65"/>
        <v>0</v>
      </c>
      <c r="Q47" s="302">
        <f t="shared" si="65"/>
        <v>0</v>
      </c>
    </row>
    <row r="48" spans="1:17" ht="12.75" thickBot="1" x14ac:dyDescent="0.25">
      <c r="A48" s="315" t="s">
        <v>278</v>
      </c>
      <c r="B48" s="317">
        <v>0.3</v>
      </c>
      <c r="C48" s="317">
        <v>0.3</v>
      </c>
      <c r="D48" s="317">
        <v>0.3</v>
      </c>
      <c r="E48" s="317">
        <v>0.3</v>
      </c>
      <c r="F48" s="317">
        <v>0.3</v>
      </c>
      <c r="G48" s="317">
        <v>0.3</v>
      </c>
      <c r="H48" s="317">
        <v>0.3</v>
      </c>
      <c r="I48" s="317">
        <v>0.3</v>
      </c>
      <c r="J48" s="317">
        <v>0.28000000000000003</v>
      </c>
      <c r="K48" s="317">
        <v>0.28000000000000003</v>
      </c>
      <c r="L48" s="317">
        <v>0.28000000000000003</v>
      </c>
      <c r="M48" s="318">
        <v>0.28999999999999998</v>
      </c>
      <c r="N48" s="318">
        <v>0.3</v>
      </c>
      <c r="O48" s="318">
        <v>0.33</v>
      </c>
      <c r="P48" s="318">
        <v>0.34</v>
      </c>
      <c r="Q48" s="318">
        <v>0.35</v>
      </c>
    </row>
    <row r="49" spans="1:17" ht="24.75" thickBot="1" x14ac:dyDescent="0.25">
      <c r="A49" s="315" t="s">
        <v>158</v>
      </c>
      <c r="B49" s="303">
        <f t="shared" ref="B49:G49" si="66">+B47*B48</f>
        <v>0</v>
      </c>
      <c r="C49" s="303">
        <f t="shared" si="66"/>
        <v>0</v>
      </c>
      <c r="D49" s="303">
        <f t="shared" si="66"/>
        <v>0</v>
      </c>
      <c r="E49" s="303">
        <f t="shared" si="66"/>
        <v>0</v>
      </c>
      <c r="F49" s="303">
        <f t="shared" si="66"/>
        <v>0</v>
      </c>
      <c r="G49" s="303">
        <f t="shared" si="66"/>
        <v>0</v>
      </c>
      <c r="H49" s="303">
        <f t="shared" ref="H49" si="67">+H47*H48</f>
        <v>0</v>
      </c>
      <c r="I49" s="303">
        <f>+I47*I48</f>
        <v>0</v>
      </c>
      <c r="J49" s="303">
        <f>+J47*J48</f>
        <v>0</v>
      </c>
      <c r="K49" s="303">
        <f>+K47*K48</f>
        <v>0</v>
      </c>
      <c r="L49" s="303">
        <f t="shared" ref="L49:Q49" si="68">+L47*L48</f>
        <v>0</v>
      </c>
      <c r="M49" s="303">
        <f t="shared" si="68"/>
        <v>0</v>
      </c>
      <c r="N49" s="303">
        <f t="shared" si="68"/>
        <v>3925.5</v>
      </c>
      <c r="O49" s="303">
        <f t="shared" si="68"/>
        <v>49500</v>
      </c>
      <c r="P49" s="303">
        <f t="shared" si="68"/>
        <v>0</v>
      </c>
      <c r="Q49" s="303">
        <f t="shared" si="68"/>
        <v>0</v>
      </c>
    </row>
    <row r="50" spans="1:17" ht="12.75" thickBot="1" x14ac:dyDescent="0.25">
      <c r="A50" s="315" t="s">
        <v>157</v>
      </c>
      <c r="B50" s="303">
        <f t="shared" ref="B50:G50" si="69">+B45-B49</f>
        <v>150000</v>
      </c>
      <c r="C50" s="303">
        <f t="shared" si="69"/>
        <v>150000</v>
      </c>
      <c r="D50" s="303">
        <f t="shared" si="69"/>
        <v>150000</v>
      </c>
      <c r="E50" s="303">
        <f t="shared" si="69"/>
        <v>150000</v>
      </c>
      <c r="F50" s="303">
        <f t="shared" si="69"/>
        <v>150000</v>
      </c>
      <c r="G50" s="303">
        <f t="shared" si="69"/>
        <v>150000</v>
      </c>
      <c r="H50" s="303">
        <f t="shared" ref="H50" si="70">+H45-H49</f>
        <v>150000</v>
      </c>
      <c r="I50" s="303">
        <f>+I45-I49</f>
        <v>150000</v>
      </c>
      <c r="J50" s="303">
        <f>+J45-J49</f>
        <v>150000</v>
      </c>
      <c r="K50" s="303">
        <f>+K45-K49</f>
        <v>150000</v>
      </c>
      <c r="L50" s="303">
        <f t="shared" ref="L50:Q50" si="71">+L45-L49</f>
        <v>150000</v>
      </c>
      <c r="M50" s="303">
        <f t="shared" si="71"/>
        <v>150000</v>
      </c>
      <c r="N50" s="303">
        <f t="shared" si="71"/>
        <v>146074.5</v>
      </c>
      <c r="O50" s="303">
        <f t="shared" si="71"/>
        <v>100500</v>
      </c>
      <c r="P50" s="303">
        <f t="shared" si="71"/>
        <v>150000</v>
      </c>
      <c r="Q50" s="303">
        <f t="shared" si="71"/>
        <v>140000</v>
      </c>
    </row>
    <row r="53" spans="1:17" x14ac:dyDescent="0.2">
      <c r="A53" s="311" t="s">
        <v>159</v>
      </c>
      <c r="B53" s="311"/>
      <c r="C53" s="311"/>
      <c r="D53" s="311"/>
      <c r="E53" s="311"/>
      <c r="F53" s="311"/>
      <c r="G53" s="311"/>
      <c r="H53" s="311"/>
      <c r="I53" s="311"/>
      <c r="J53" s="311"/>
      <c r="K53" s="311"/>
      <c r="L53" s="311"/>
    </row>
    <row r="54" spans="1:17" x14ac:dyDescent="0.2">
      <c r="A54" s="319" t="s">
        <v>263</v>
      </c>
      <c r="B54" s="319">
        <f t="shared" ref="B54:G54" si="72">+B44</f>
        <v>2017</v>
      </c>
      <c r="C54" s="319">
        <f t="shared" si="72"/>
        <v>2016</v>
      </c>
      <c r="D54" s="319">
        <f t="shared" si="72"/>
        <v>2015</v>
      </c>
      <c r="E54" s="319">
        <f t="shared" si="72"/>
        <v>2014</v>
      </c>
      <c r="F54" s="319">
        <f t="shared" si="72"/>
        <v>2013</v>
      </c>
      <c r="G54" s="319">
        <f t="shared" si="72"/>
        <v>2012</v>
      </c>
      <c r="H54" s="319">
        <f>+H44</f>
        <v>2011</v>
      </c>
      <c r="I54" s="319">
        <f>+I44</f>
        <v>2010</v>
      </c>
      <c r="J54" s="319">
        <v>2009</v>
      </c>
      <c r="K54" s="319">
        <v>2008</v>
      </c>
      <c r="L54" s="319">
        <v>2007</v>
      </c>
      <c r="M54" s="319">
        <v>2006</v>
      </c>
      <c r="N54" s="319">
        <v>2005</v>
      </c>
      <c r="O54" s="319">
        <v>2004</v>
      </c>
      <c r="P54" s="319">
        <v>2003</v>
      </c>
      <c r="Q54" s="319">
        <v>2002</v>
      </c>
    </row>
    <row r="55" spans="1:17" x14ac:dyDescent="0.2">
      <c r="A55" s="320" t="s">
        <v>267</v>
      </c>
      <c r="B55" s="321">
        <v>1</v>
      </c>
      <c r="C55" s="321">
        <v>1</v>
      </c>
      <c r="D55" s="321">
        <v>1</v>
      </c>
      <c r="E55" s="321">
        <v>1</v>
      </c>
      <c r="F55" s="321">
        <v>1</v>
      </c>
      <c r="G55" s="321">
        <v>1</v>
      </c>
      <c r="H55" s="321">
        <v>1</v>
      </c>
      <c r="I55" s="321">
        <v>1</v>
      </c>
      <c r="J55" s="321">
        <v>1</v>
      </c>
      <c r="K55" s="321">
        <v>1</v>
      </c>
      <c r="L55" s="321">
        <v>1</v>
      </c>
      <c r="M55" s="321">
        <v>1</v>
      </c>
      <c r="N55" s="321">
        <v>1</v>
      </c>
      <c r="O55" s="321">
        <v>1</v>
      </c>
      <c r="P55" s="321">
        <v>1</v>
      </c>
      <c r="Q55" s="321">
        <v>1</v>
      </c>
    </row>
    <row r="56" spans="1:17" x14ac:dyDescent="0.2">
      <c r="A56" s="320" t="s">
        <v>268</v>
      </c>
      <c r="B56" s="321">
        <v>0.3</v>
      </c>
      <c r="C56" s="321">
        <v>0.3</v>
      </c>
      <c r="D56" s="321">
        <v>0.3</v>
      </c>
      <c r="E56" s="321">
        <v>0.3</v>
      </c>
      <c r="F56" s="321">
        <v>0.3</v>
      </c>
      <c r="G56" s="321">
        <v>0.3</v>
      </c>
      <c r="H56" s="321">
        <v>0.3</v>
      </c>
      <c r="I56" s="321">
        <v>0.3</v>
      </c>
      <c r="J56" s="321">
        <v>0.28000000000000003</v>
      </c>
      <c r="K56" s="321">
        <v>0.28000000000000003</v>
      </c>
      <c r="L56" s="321">
        <v>0.28000000000000003</v>
      </c>
      <c r="M56" s="321">
        <v>0.28999999999999998</v>
      </c>
      <c r="N56" s="321">
        <v>0.3</v>
      </c>
      <c r="O56" s="321">
        <v>0.33</v>
      </c>
      <c r="P56" s="321">
        <v>0.34</v>
      </c>
      <c r="Q56" s="321">
        <v>0.35</v>
      </c>
    </row>
    <row r="57" spans="1:17" x14ac:dyDescent="0.2">
      <c r="A57" s="320" t="s">
        <v>269</v>
      </c>
      <c r="B57" s="321">
        <f t="shared" ref="B57:G57" si="73">+B55-B56</f>
        <v>0.7</v>
      </c>
      <c r="C57" s="321">
        <f t="shared" si="73"/>
        <v>0.7</v>
      </c>
      <c r="D57" s="321">
        <f t="shared" si="73"/>
        <v>0.7</v>
      </c>
      <c r="E57" s="321">
        <f t="shared" si="73"/>
        <v>0.7</v>
      </c>
      <c r="F57" s="321">
        <f t="shared" si="73"/>
        <v>0.7</v>
      </c>
      <c r="G57" s="321">
        <f t="shared" si="73"/>
        <v>0.7</v>
      </c>
      <c r="H57" s="321">
        <f>+H55-H56</f>
        <v>0.7</v>
      </c>
      <c r="I57" s="321">
        <f>+I55-I56</f>
        <v>0.7</v>
      </c>
      <c r="J57" s="321">
        <f>+J55-J56</f>
        <v>0.72</v>
      </c>
      <c r="K57" s="321">
        <f>+K55-K56</f>
        <v>0.72</v>
      </c>
      <c r="L57" s="321">
        <f t="shared" ref="L57:Q57" si="74">+L55-L56</f>
        <v>0.72</v>
      </c>
      <c r="M57" s="321">
        <f t="shared" si="74"/>
        <v>0.71</v>
      </c>
      <c r="N57" s="321">
        <f t="shared" si="74"/>
        <v>0.7</v>
      </c>
      <c r="O57" s="321">
        <f t="shared" si="74"/>
        <v>0.66999999999999993</v>
      </c>
      <c r="P57" s="321">
        <f t="shared" si="74"/>
        <v>0.65999999999999992</v>
      </c>
      <c r="Q57" s="321">
        <f t="shared" si="74"/>
        <v>0.65</v>
      </c>
    </row>
    <row r="58" spans="1:17" x14ac:dyDescent="0.2">
      <c r="A58" s="320" t="s">
        <v>270</v>
      </c>
      <c r="B58" s="322">
        <f t="shared" ref="B58:G58" si="75">+B55/B57</f>
        <v>1.4285714285714286</v>
      </c>
      <c r="C58" s="322">
        <f t="shared" si="75"/>
        <v>1.4285714285714286</v>
      </c>
      <c r="D58" s="322">
        <f t="shared" si="75"/>
        <v>1.4285714285714286</v>
      </c>
      <c r="E58" s="322">
        <f t="shared" si="75"/>
        <v>1.4285714285714286</v>
      </c>
      <c r="F58" s="322">
        <f t="shared" si="75"/>
        <v>1.4285714285714286</v>
      </c>
      <c r="G58" s="322">
        <f t="shared" si="75"/>
        <v>1.4285714285714286</v>
      </c>
      <c r="H58" s="322">
        <f>+H55/H57</f>
        <v>1.4285714285714286</v>
      </c>
      <c r="I58" s="322">
        <f>+I55/I57</f>
        <v>1.4285714285714286</v>
      </c>
      <c r="J58" s="322">
        <f>+J55/J57</f>
        <v>1.3888888888888888</v>
      </c>
      <c r="K58" s="322">
        <f>+K55/K57</f>
        <v>1.3888888888888888</v>
      </c>
      <c r="L58" s="322">
        <f t="shared" ref="L58:Q58" si="76">+L55/L57</f>
        <v>1.3888888888888888</v>
      </c>
      <c r="M58" s="322">
        <f t="shared" si="76"/>
        <v>1.4084507042253522</v>
      </c>
      <c r="N58" s="322">
        <f t="shared" si="76"/>
        <v>1.4285714285714286</v>
      </c>
      <c r="O58" s="322">
        <f t="shared" si="76"/>
        <v>1.4925373134328359</v>
      </c>
      <c r="P58" s="322">
        <f t="shared" si="76"/>
        <v>1.5151515151515154</v>
      </c>
      <c r="Q58" s="322">
        <f t="shared" si="76"/>
        <v>1.5384615384615383</v>
      </c>
    </row>
    <row r="59" spans="1:17" x14ac:dyDescent="0.2">
      <c r="A59" s="320" t="s">
        <v>271</v>
      </c>
      <c r="B59" s="322">
        <f t="shared" ref="B59:G59" si="77">+B58-1</f>
        <v>0.4285714285714286</v>
      </c>
      <c r="C59" s="322">
        <f t="shared" si="77"/>
        <v>0.4285714285714286</v>
      </c>
      <c r="D59" s="322">
        <f t="shared" si="77"/>
        <v>0.4285714285714286</v>
      </c>
      <c r="E59" s="322">
        <f t="shared" si="77"/>
        <v>0.4285714285714286</v>
      </c>
      <c r="F59" s="322">
        <f t="shared" si="77"/>
        <v>0.4285714285714286</v>
      </c>
      <c r="G59" s="322">
        <f t="shared" si="77"/>
        <v>0.4285714285714286</v>
      </c>
      <c r="H59" s="322">
        <f>+H58-1</f>
        <v>0.4285714285714286</v>
      </c>
      <c r="I59" s="322">
        <f>+I58-1</f>
        <v>0.4285714285714286</v>
      </c>
      <c r="J59" s="322">
        <f>+J58-1</f>
        <v>0.38888888888888884</v>
      </c>
      <c r="K59" s="322">
        <f>+K58-1</f>
        <v>0.38888888888888884</v>
      </c>
      <c r="L59" s="322">
        <f t="shared" ref="L59:Q59" si="78">+L58-1</f>
        <v>0.38888888888888884</v>
      </c>
      <c r="M59" s="322">
        <f t="shared" si="78"/>
        <v>0.40845070422535223</v>
      </c>
      <c r="N59" s="322">
        <f t="shared" si="78"/>
        <v>0.4285714285714286</v>
      </c>
      <c r="O59" s="322">
        <f t="shared" si="78"/>
        <v>0.49253731343283591</v>
      </c>
      <c r="P59" s="322">
        <f t="shared" si="78"/>
        <v>0.51515151515151536</v>
      </c>
      <c r="Q59" s="322">
        <f t="shared" si="78"/>
        <v>0.53846153846153832</v>
      </c>
    </row>
    <row r="62" spans="1:17" x14ac:dyDescent="0.2">
      <c r="A62" s="323" t="s">
        <v>67</v>
      </c>
      <c r="B62" s="323"/>
      <c r="C62" s="323"/>
      <c r="D62" s="323"/>
      <c r="E62" s="323"/>
      <c r="F62" s="323"/>
      <c r="G62" s="323"/>
      <c r="H62" s="323"/>
      <c r="I62" s="323"/>
      <c r="J62" s="323"/>
      <c r="K62" s="323"/>
      <c r="L62" s="323"/>
    </row>
    <row r="63" spans="1:17" x14ac:dyDescent="0.2">
      <c r="A63" s="319" t="s">
        <v>263</v>
      </c>
      <c r="B63" s="319">
        <f t="shared" ref="B63:G63" si="79">+B54</f>
        <v>2017</v>
      </c>
      <c r="C63" s="319">
        <f t="shared" si="79"/>
        <v>2016</v>
      </c>
      <c r="D63" s="319">
        <f t="shared" si="79"/>
        <v>2015</v>
      </c>
      <c r="E63" s="319">
        <f t="shared" si="79"/>
        <v>2014</v>
      </c>
      <c r="F63" s="319">
        <f t="shared" si="79"/>
        <v>2013</v>
      </c>
      <c r="G63" s="319">
        <f t="shared" si="79"/>
        <v>2012</v>
      </c>
      <c r="H63" s="319">
        <f>+H54</f>
        <v>2011</v>
      </c>
      <c r="I63" s="319">
        <f>+I54</f>
        <v>2010</v>
      </c>
      <c r="J63" s="319">
        <v>2009</v>
      </c>
      <c r="K63" s="319">
        <v>2008</v>
      </c>
      <c r="L63" s="319">
        <v>2007</v>
      </c>
      <c r="M63" s="319">
        <v>2006</v>
      </c>
      <c r="N63" s="319">
        <v>2005</v>
      </c>
      <c r="O63" s="319">
        <v>2004</v>
      </c>
      <c r="P63" s="319">
        <v>2003</v>
      </c>
      <c r="Q63" s="319">
        <v>2002</v>
      </c>
    </row>
    <row r="64" spans="1:17" x14ac:dyDescent="0.2">
      <c r="A64" s="320" t="s">
        <v>267</v>
      </c>
      <c r="B64" s="936">
        <v>100</v>
      </c>
      <c r="C64" s="936">
        <v>100</v>
      </c>
      <c r="D64" s="936">
        <v>100</v>
      </c>
      <c r="E64" s="936">
        <v>100</v>
      </c>
      <c r="F64" s="936">
        <v>100</v>
      </c>
      <c r="G64" s="936">
        <v>100</v>
      </c>
      <c r="H64" s="936">
        <v>100</v>
      </c>
      <c r="I64" s="936">
        <v>100</v>
      </c>
      <c r="J64" s="936">
        <v>100</v>
      </c>
      <c r="K64" s="936">
        <v>100</v>
      </c>
      <c r="L64" s="936">
        <v>100</v>
      </c>
      <c r="M64" s="936">
        <v>100</v>
      </c>
      <c r="N64" s="936">
        <v>100</v>
      </c>
      <c r="O64" s="936">
        <v>100</v>
      </c>
      <c r="P64" s="936">
        <v>100</v>
      </c>
      <c r="Q64" s="936">
        <v>100</v>
      </c>
    </row>
    <row r="65" spans="1:17" x14ac:dyDescent="0.2">
      <c r="A65" s="320" t="s">
        <v>272</v>
      </c>
      <c r="B65" s="936">
        <v>10</v>
      </c>
      <c r="C65" s="936">
        <v>10</v>
      </c>
      <c r="D65" s="936">
        <v>10</v>
      </c>
      <c r="E65" s="936">
        <v>10</v>
      </c>
      <c r="F65" s="936">
        <v>10</v>
      </c>
      <c r="G65" s="936">
        <v>10</v>
      </c>
      <c r="H65" s="936">
        <v>10</v>
      </c>
      <c r="I65" s="936">
        <v>10</v>
      </c>
      <c r="J65" s="936">
        <v>10</v>
      </c>
      <c r="K65" s="936">
        <v>10</v>
      </c>
      <c r="L65" s="936">
        <v>10</v>
      </c>
      <c r="M65" s="936">
        <v>10</v>
      </c>
      <c r="N65" s="936">
        <v>10</v>
      </c>
      <c r="O65" s="937"/>
      <c r="P65" s="937"/>
      <c r="Q65" s="937"/>
    </row>
    <row r="66" spans="1:17" x14ac:dyDescent="0.2">
      <c r="A66" s="320" t="s">
        <v>273</v>
      </c>
      <c r="B66" s="936">
        <f t="shared" ref="B66:G66" si="80">+B64-B65</f>
        <v>90</v>
      </c>
      <c r="C66" s="936">
        <f t="shared" si="80"/>
        <v>90</v>
      </c>
      <c r="D66" s="936">
        <f t="shared" si="80"/>
        <v>90</v>
      </c>
      <c r="E66" s="936">
        <f t="shared" si="80"/>
        <v>90</v>
      </c>
      <c r="F66" s="936">
        <f t="shared" si="80"/>
        <v>90</v>
      </c>
      <c r="G66" s="936">
        <f t="shared" si="80"/>
        <v>90</v>
      </c>
      <c r="H66" s="936">
        <f>+H64-H65</f>
        <v>90</v>
      </c>
      <c r="I66" s="936">
        <f>+I64-I65</f>
        <v>90</v>
      </c>
      <c r="J66" s="936">
        <f>+J64-J65</f>
        <v>90</v>
      </c>
      <c r="K66" s="936">
        <f>+K64-K65</f>
        <v>90</v>
      </c>
      <c r="L66" s="936">
        <f t="shared" ref="L66:Q66" si="81">+L64-L65</f>
        <v>90</v>
      </c>
      <c r="M66" s="936">
        <f t="shared" si="81"/>
        <v>90</v>
      </c>
      <c r="N66" s="936">
        <f t="shared" si="81"/>
        <v>90</v>
      </c>
      <c r="O66" s="936">
        <f t="shared" si="81"/>
        <v>100</v>
      </c>
      <c r="P66" s="936">
        <f t="shared" si="81"/>
        <v>100</v>
      </c>
      <c r="Q66" s="936">
        <f t="shared" si="81"/>
        <v>100</v>
      </c>
    </row>
    <row r="67" spans="1:17" x14ac:dyDescent="0.2">
      <c r="A67" s="320" t="s">
        <v>268</v>
      </c>
      <c r="B67" s="936">
        <v>0.3</v>
      </c>
      <c r="C67" s="936">
        <v>0.3</v>
      </c>
      <c r="D67" s="936">
        <v>0.3</v>
      </c>
      <c r="E67" s="936">
        <v>0.3</v>
      </c>
      <c r="F67" s="936">
        <v>0.3</v>
      </c>
      <c r="G67" s="936">
        <v>0.3</v>
      </c>
      <c r="H67" s="936">
        <v>0.3</v>
      </c>
      <c r="I67" s="936">
        <v>0.3</v>
      </c>
      <c r="J67" s="936">
        <v>0.28000000000000003</v>
      </c>
      <c r="K67" s="936">
        <v>0.28000000000000003</v>
      </c>
      <c r="L67" s="936">
        <v>0.28000000000000003</v>
      </c>
      <c r="M67" s="936">
        <v>0.28999999999999998</v>
      </c>
      <c r="N67" s="936">
        <v>0.3</v>
      </c>
      <c r="O67" s="936">
        <v>0.33</v>
      </c>
      <c r="P67" s="936">
        <v>0.34</v>
      </c>
      <c r="Q67" s="936">
        <v>0.35</v>
      </c>
    </row>
    <row r="68" spans="1:17" x14ac:dyDescent="0.2">
      <c r="A68" s="325" t="s">
        <v>274</v>
      </c>
      <c r="B68" s="936">
        <f t="shared" ref="B68:G68" si="82">+B66*B67</f>
        <v>27</v>
      </c>
      <c r="C68" s="936">
        <f t="shared" si="82"/>
        <v>27</v>
      </c>
      <c r="D68" s="936">
        <f t="shared" si="82"/>
        <v>27</v>
      </c>
      <c r="E68" s="936">
        <f t="shared" si="82"/>
        <v>27</v>
      </c>
      <c r="F68" s="936">
        <f t="shared" si="82"/>
        <v>27</v>
      </c>
      <c r="G68" s="936">
        <f t="shared" si="82"/>
        <v>27</v>
      </c>
      <c r="H68" s="936">
        <f>+H66*H67</f>
        <v>27</v>
      </c>
      <c r="I68" s="936">
        <f>+I66*I67</f>
        <v>27</v>
      </c>
      <c r="J68" s="936">
        <f>+J66*J67</f>
        <v>25.200000000000003</v>
      </c>
      <c r="K68" s="936">
        <f>+K66*K67</f>
        <v>25.200000000000003</v>
      </c>
      <c r="L68" s="936">
        <f t="shared" ref="L68:Q68" si="83">+L66*L67</f>
        <v>25.200000000000003</v>
      </c>
      <c r="M68" s="936">
        <f t="shared" si="83"/>
        <v>26.099999999999998</v>
      </c>
      <c r="N68" s="936">
        <f t="shared" si="83"/>
        <v>27</v>
      </c>
      <c r="O68" s="936">
        <f t="shared" si="83"/>
        <v>33</v>
      </c>
      <c r="P68" s="936">
        <f t="shared" si="83"/>
        <v>34</v>
      </c>
      <c r="Q68" s="936">
        <f t="shared" si="83"/>
        <v>35</v>
      </c>
    </row>
    <row r="69" spans="1:17" x14ac:dyDescent="0.2">
      <c r="A69" s="325" t="s">
        <v>275</v>
      </c>
      <c r="B69" s="937"/>
      <c r="C69" s="937"/>
      <c r="D69" s="937"/>
      <c r="E69" s="937"/>
      <c r="F69" s="937"/>
      <c r="G69" s="937"/>
      <c r="H69" s="937"/>
      <c r="I69" s="937"/>
      <c r="J69" s="937"/>
      <c r="K69" s="937"/>
      <c r="L69" s="937"/>
      <c r="M69" s="937"/>
      <c r="N69" s="937"/>
      <c r="O69" s="938">
        <v>10</v>
      </c>
      <c r="P69" s="938">
        <v>10</v>
      </c>
      <c r="Q69" s="938">
        <v>10</v>
      </c>
    </row>
    <row r="70" spans="1:17" x14ac:dyDescent="0.2">
      <c r="A70" s="320" t="s">
        <v>276</v>
      </c>
      <c r="B70" s="936">
        <f t="shared" ref="B70:G70" si="84">+B65+B68+B69</f>
        <v>37</v>
      </c>
      <c r="C70" s="936">
        <f t="shared" si="84"/>
        <v>37</v>
      </c>
      <c r="D70" s="936">
        <f t="shared" si="84"/>
        <v>37</v>
      </c>
      <c r="E70" s="936">
        <f t="shared" si="84"/>
        <v>37</v>
      </c>
      <c r="F70" s="936">
        <f t="shared" si="84"/>
        <v>37</v>
      </c>
      <c r="G70" s="936">
        <f t="shared" si="84"/>
        <v>37</v>
      </c>
      <c r="H70" s="936">
        <f>+H65+H68+H69</f>
        <v>37</v>
      </c>
      <c r="I70" s="936">
        <f>+I65+I68+I69</f>
        <v>37</v>
      </c>
      <c r="J70" s="936">
        <f>+J65+J68+J69</f>
        <v>35.200000000000003</v>
      </c>
      <c r="K70" s="936">
        <f>+K65+K68+K69</f>
        <v>35.200000000000003</v>
      </c>
      <c r="L70" s="936">
        <f t="shared" ref="L70:Q70" si="85">+L65+L68+L69</f>
        <v>35.200000000000003</v>
      </c>
      <c r="M70" s="936">
        <f t="shared" si="85"/>
        <v>36.099999999999994</v>
      </c>
      <c r="N70" s="936">
        <f t="shared" si="85"/>
        <v>37</v>
      </c>
      <c r="O70" s="936">
        <f t="shared" si="85"/>
        <v>43</v>
      </c>
      <c r="P70" s="936">
        <f t="shared" si="85"/>
        <v>44</v>
      </c>
      <c r="Q70" s="936">
        <f t="shared" si="85"/>
        <v>45</v>
      </c>
    </row>
  </sheetData>
  <phoneticPr fontId="11" type="noConversion"/>
  <pageMargins left="0.75" right="0.75" top="1" bottom="1" header="0"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zoomScale="120" workbookViewId="0">
      <selection activeCell="B12" sqref="B12"/>
    </sheetView>
  </sheetViews>
  <sheetFormatPr baseColWidth="10" defaultRowHeight="12" x14ac:dyDescent="0.2"/>
  <cols>
    <col min="1" max="1" width="45" style="144" customWidth="1"/>
    <col min="2" max="7" width="16" style="144" customWidth="1"/>
    <col min="8" max="8" width="16.28515625" style="144" customWidth="1"/>
    <col min="9" max="9" width="14.140625" style="144" customWidth="1"/>
    <col min="10" max="10" width="13.5703125" style="144" customWidth="1"/>
    <col min="11" max="11" width="13.42578125" style="144" customWidth="1"/>
    <col min="12" max="12" width="11.5703125" style="144" customWidth="1"/>
    <col min="13" max="13" width="11.85546875" style="144" bestFit="1" customWidth="1"/>
    <col min="14" max="14" width="12.28515625" style="144" bestFit="1" customWidth="1"/>
    <col min="15" max="15" width="13.85546875" style="144" bestFit="1" customWidth="1"/>
    <col min="16" max="16384" width="11.42578125" style="144"/>
  </cols>
  <sheetData>
    <row r="1" spans="1:16" ht="15.75" x14ac:dyDescent="0.25">
      <c r="A1" s="939" t="str">
        <f>+ER!A1</f>
        <v>Empresa Comercial, SA de CV</v>
      </c>
      <c r="B1" s="215"/>
      <c r="C1" s="215"/>
      <c r="D1" s="215"/>
      <c r="E1" s="215"/>
      <c r="F1" s="215"/>
      <c r="G1" s="215"/>
      <c r="H1" s="215"/>
      <c r="I1" s="215"/>
      <c r="J1" s="215"/>
      <c r="K1" s="215"/>
      <c r="L1" s="215"/>
      <c r="M1" s="182"/>
      <c r="N1" s="182"/>
      <c r="O1" s="182"/>
      <c r="P1" s="182"/>
    </row>
    <row r="2" spans="1:16" x14ac:dyDescent="0.2">
      <c r="A2" s="215" t="s">
        <v>465</v>
      </c>
      <c r="B2" s="215"/>
      <c r="C2" s="215"/>
      <c r="D2" s="215"/>
      <c r="E2" s="215"/>
      <c r="F2" s="215"/>
      <c r="G2" s="215"/>
      <c r="H2" s="215"/>
      <c r="I2" s="215"/>
      <c r="J2" s="215"/>
      <c r="K2" s="215"/>
      <c r="L2" s="215"/>
      <c r="M2" s="182"/>
      <c r="N2" s="182"/>
      <c r="O2" s="182"/>
      <c r="P2" s="182"/>
    </row>
    <row r="3" spans="1:16" ht="12.75" thickBot="1" x14ac:dyDescent="0.25">
      <c r="A3" s="212" t="s">
        <v>488</v>
      </c>
      <c r="B3" s="212"/>
      <c r="C3" s="212"/>
      <c r="D3" s="212"/>
      <c r="E3" s="212"/>
      <c r="F3" s="212"/>
      <c r="G3" s="212"/>
      <c r="H3" s="212"/>
      <c r="I3" s="212"/>
      <c r="J3" s="212"/>
      <c r="K3" s="212"/>
      <c r="L3" s="212"/>
      <c r="M3" s="210"/>
      <c r="N3" s="210"/>
      <c r="O3" s="210"/>
      <c r="P3" s="182"/>
    </row>
    <row r="4" spans="1:16" ht="12.75" thickBot="1" x14ac:dyDescent="0.25">
      <c r="A4" s="326" t="s">
        <v>432</v>
      </c>
      <c r="B4" s="327">
        <v>2017</v>
      </c>
      <c r="C4" s="327">
        <v>2016</v>
      </c>
      <c r="D4" s="327">
        <v>2015</v>
      </c>
      <c r="E4" s="327">
        <v>2014</v>
      </c>
      <c r="F4" s="327">
        <v>2013</v>
      </c>
      <c r="G4" s="327">
        <v>2012</v>
      </c>
      <c r="H4" s="327">
        <v>2011</v>
      </c>
      <c r="I4" s="327">
        <v>2010</v>
      </c>
      <c r="J4" s="327">
        <v>2009</v>
      </c>
      <c r="K4" s="327">
        <v>2008</v>
      </c>
      <c r="L4" s="327">
        <v>2007</v>
      </c>
      <c r="M4" s="327">
        <v>2006</v>
      </c>
      <c r="N4" s="327">
        <v>2005</v>
      </c>
      <c r="O4" s="328">
        <v>2004</v>
      </c>
      <c r="P4" s="182"/>
    </row>
    <row r="5" spans="1:16" x14ac:dyDescent="0.2">
      <c r="A5" s="329" t="s">
        <v>433</v>
      </c>
      <c r="B5" s="330">
        <f>IF(+ER!B53&gt;0,+ER!B53,0)</f>
        <v>369191</v>
      </c>
      <c r="C5" s="330">
        <f>IF(+ER!C45&gt;0,+ER!C45,0)</f>
        <v>582476</v>
      </c>
      <c r="D5" s="330">
        <f>IF(+ER!D45&gt;0,+ER!D45,0)</f>
        <v>582476</v>
      </c>
      <c r="E5" s="330">
        <f>IF(+ER!E45&gt;0,+ER!E45,0)</f>
        <v>582476</v>
      </c>
      <c r="F5" s="330">
        <f>IF(+ER!F45&gt;0,+ER!F45,0)</f>
        <v>582476</v>
      </c>
      <c r="G5" s="330">
        <f>IF(+ER!G45&gt;0,+ER!G45,0)</f>
        <v>582476</v>
      </c>
      <c r="H5" s="330">
        <f>IF(+ER!H45&gt;0,+ER!H45,0)</f>
        <v>586326</v>
      </c>
      <c r="I5" s="330">
        <f>IF(+ER!I45&gt;0,+ER!I45,0)</f>
        <v>526911</v>
      </c>
      <c r="J5" s="330">
        <f>IF(+ER!J45&gt;0,+ER!J45,0)</f>
        <v>654220</v>
      </c>
      <c r="K5" s="330">
        <f>IF(+ER!K45&gt;0,+ER!K45,0)</f>
        <v>654220</v>
      </c>
      <c r="L5" s="330">
        <f>IF(+ER!L45&gt;0,+ER!L45,0)</f>
        <v>654220</v>
      </c>
      <c r="M5" s="330">
        <f>IF(+ER!M45&gt;0,+ER!M45,0)</f>
        <v>654220</v>
      </c>
      <c r="N5" s="330">
        <f>IF(+ER!N45&gt;0,+ER!N45,0)</f>
        <v>654220</v>
      </c>
      <c r="O5" s="330">
        <f>IF(+ER!O45&gt;0,+ER!O45,0)</f>
        <v>934220</v>
      </c>
      <c r="P5" s="182"/>
    </row>
    <row r="6" spans="1:16" x14ac:dyDescent="0.2">
      <c r="A6" s="331" t="s">
        <v>496</v>
      </c>
      <c r="B6" s="332">
        <f>IF(+ER!B53&lt;0,+ER!B53,0)</f>
        <v>0</v>
      </c>
      <c r="C6" s="332"/>
      <c r="D6" s="332"/>
      <c r="E6" s="332"/>
      <c r="F6" s="332"/>
      <c r="G6" s="332"/>
      <c r="H6" s="332">
        <f>IF(+ER!H53&lt;0,+ER!H53,0)</f>
        <v>0</v>
      </c>
      <c r="I6" s="332">
        <f>IF(+ER!I53&lt;0,+ER!I53,0)</f>
        <v>0</v>
      </c>
      <c r="J6" s="332">
        <f>IF(+ER!J53&lt;0,+ER!J53,0)</f>
        <v>0</v>
      </c>
      <c r="K6" s="332">
        <f>IF(+ER!K53&lt;0,+ER!K53,0)</f>
        <v>0</v>
      </c>
      <c r="L6" s="332">
        <f>IF(+ER!L53&lt;0,+ER!L53,0)</f>
        <v>0</v>
      </c>
      <c r="M6" s="332">
        <f>IF(+ER!M53&lt;0,+ER!M53,0)</f>
        <v>0</v>
      </c>
      <c r="N6" s="332">
        <f>IF(+ER!N53&lt;0,+ER!N53,0)</f>
        <v>0</v>
      </c>
      <c r="O6" s="332">
        <f>IF(+ER!O53&lt;0,+ER!O53,0)</f>
        <v>0</v>
      </c>
      <c r="P6" s="182"/>
    </row>
    <row r="7" spans="1:16" x14ac:dyDescent="0.2">
      <c r="A7" s="333" t="s">
        <v>468</v>
      </c>
      <c r="B7" s="334"/>
      <c r="C7" s="334"/>
      <c r="D7" s="334"/>
      <c r="E7" s="334"/>
      <c r="F7" s="334"/>
      <c r="G7" s="334"/>
      <c r="H7" s="334"/>
      <c r="I7" s="334"/>
      <c r="J7" s="334"/>
      <c r="K7" s="334"/>
      <c r="L7" s="334"/>
      <c r="M7" s="334"/>
      <c r="N7" s="335"/>
      <c r="O7" s="336"/>
      <c r="P7" s="182"/>
    </row>
    <row r="8" spans="1:16" x14ac:dyDescent="0.2">
      <c r="A8" s="337" t="s">
        <v>494</v>
      </c>
      <c r="B8" s="338"/>
      <c r="C8" s="338"/>
      <c r="D8" s="338"/>
      <c r="E8" s="338"/>
      <c r="F8" s="338"/>
      <c r="G8" s="338"/>
      <c r="H8" s="338"/>
      <c r="I8" s="338"/>
      <c r="J8" s="338"/>
      <c r="K8" s="338"/>
      <c r="L8" s="338"/>
      <c r="M8" s="338"/>
      <c r="N8" s="339"/>
      <c r="O8" s="340"/>
      <c r="P8" s="182"/>
    </row>
    <row r="9" spans="1:16" ht="12.75" thickBot="1" x14ac:dyDescent="0.25">
      <c r="A9" s="341" t="s">
        <v>495</v>
      </c>
      <c r="B9" s="342"/>
      <c r="C9" s="342"/>
      <c r="D9" s="342"/>
      <c r="E9" s="342"/>
      <c r="F9" s="342"/>
      <c r="G9" s="342"/>
      <c r="H9" s="342"/>
      <c r="I9" s="342"/>
      <c r="J9" s="342"/>
      <c r="K9" s="342"/>
      <c r="L9" s="342"/>
      <c r="M9" s="342"/>
      <c r="N9" s="343"/>
      <c r="O9" s="344"/>
      <c r="P9" s="182"/>
    </row>
    <row r="10" spans="1:16" x14ac:dyDescent="0.2">
      <c r="A10" s="345" t="s">
        <v>493</v>
      </c>
      <c r="B10" s="346">
        <f>+B5+B6+B8+B9</f>
        <v>369191</v>
      </c>
      <c r="C10" s="346">
        <f t="shared" ref="C10:G10" si="0">+C5+C6+C8+C9</f>
        <v>582476</v>
      </c>
      <c r="D10" s="346">
        <f t="shared" si="0"/>
        <v>582476</v>
      </c>
      <c r="E10" s="346">
        <f t="shared" si="0"/>
        <v>582476</v>
      </c>
      <c r="F10" s="346">
        <f t="shared" si="0"/>
        <v>582476</v>
      </c>
      <c r="G10" s="346">
        <f t="shared" si="0"/>
        <v>582476</v>
      </c>
      <c r="H10" s="346">
        <f t="shared" ref="H10:I10" si="1">+H5+H6+H8+H9</f>
        <v>586326</v>
      </c>
      <c r="I10" s="346">
        <f t="shared" si="1"/>
        <v>526911</v>
      </c>
      <c r="J10" s="346">
        <f>+B5+B6+J8+J9</f>
        <v>369191</v>
      </c>
      <c r="K10" s="346">
        <f t="shared" ref="K10:O10" si="2">+K5+K6+K8+K9</f>
        <v>654220</v>
      </c>
      <c r="L10" s="346">
        <f t="shared" si="2"/>
        <v>654220</v>
      </c>
      <c r="M10" s="346">
        <f t="shared" si="2"/>
        <v>654220</v>
      </c>
      <c r="N10" s="346">
        <f t="shared" si="2"/>
        <v>654220</v>
      </c>
      <c r="O10" s="346">
        <f t="shared" si="2"/>
        <v>934220</v>
      </c>
      <c r="P10" s="182"/>
    </row>
    <row r="11" spans="1:16" x14ac:dyDescent="0.2">
      <c r="A11" s="347" t="s">
        <v>852</v>
      </c>
      <c r="B11" s="348">
        <f t="shared" ref="B11:G11" si="3">+B43</f>
        <v>197808.93790641337</v>
      </c>
      <c r="C11" s="348">
        <f t="shared" si="3"/>
        <v>197808.93790641337</v>
      </c>
      <c r="D11" s="348">
        <f t="shared" si="3"/>
        <v>197808.93790641337</v>
      </c>
      <c r="E11" s="348">
        <f t="shared" si="3"/>
        <v>197808.93790641337</v>
      </c>
      <c r="F11" s="348">
        <f t="shared" si="3"/>
        <v>197808.93790641337</v>
      </c>
      <c r="G11" s="348">
        <f t="shared" si="3"/>
        <v>197808.93790641337</v>
      </c>
      <c r="H11" s="348">
        <f t="shared" ref="H11:I11" si="4">+H43</f>
        <v>231224.86710995319</v>
      </c>
      <c r="I11" s="348">
        <f t="shared" si="4"/>
        <v>231224.86710995319</v>
      </c>
      <c r="J11" s="348">
        <f t="shared" ref="J11:O11" si="5">+J43</f>
        <v>247932.83171172309</v>
      </c>
      <c r="K11" s="348">
        <f t="shared" si="5"/>
        <v>247932.83171172309</v>
      </c>
      <c r="L11" s="348">
        <f t="shared" si="5"/>
        <v>569612.30746316817</v>
      </c>
      <c r="M11" s="348">
        <f t="shared" si="5"/>
        <v>258507.59258862253</v>
      </c>
      <c r="N11" s="348">
        <f t="shared" si="5"/>
        <v>559456.63716814155</v>
      </c>
      <c r="O11" s="348">
        <f t="shared" si="5"/>
        <v>257000</v>
      </c>
      <c r="P11" s="182"/>
    </row>
    <row r="12" spans="1:16" x14ac:dyDescent="0.2">
      <c r="A12" s="347" t="s">
        <v>853</v>
      </c>
      <c r="B12" s="348">
        <f t="shared" ref="B12:G12" si="6">+B70</f>
        <v>679029</v>
      </c>
      <c r="C12" s="348">
        <f t="shared" si="6"/>
        <v>655926</v>
      </c>
      <c r="D12" s="348">
        <f t="shared" si="6"/>
        <v>655926</v>
      </c>
      <c r="E12" s="348">
        <f t="shared" si="6"/>
        <v>655926</v>
      </c>
      <c r="F12" s="348">
        <f t="shared" si="6"/>
        <v>655926</v>
      </c>
      <c r="G12" s="348">
        <f t="shared" si="6"/>
        <v>655926</v>
      </c>
      <c r="H12" s="348">
        <f t="shared" ref="H12:I12" si="7">+H70</f>
        <v>652076</v>
      </c>
      <c r="I12" s="348">
        <f t="shared" si="7"/>
        <v>839619</v>
      </c>
      <c r="J12" s="348">
        <f t="shared" ref="J12:O12" si="8">+J70</f>
        <v>394000</v>
      </c>
      <c r="K12" s="348">
        <f t="shared" si="8"/>
        <v>394000</v>
      </c>
      <c r="L12" s="348">
        <f t="shared" si="8"/>
        <v>653467</v>
      </c>
      <c r="M12" s="348">
        <f t="shared" si="8"/>
        <v>581796</v>
      </c>
      <c r="N12" s="348">
        <f t="shared" si="8"/>
        <v>646708</v>
      </c>
      <c r="O12" s="348">
        <f t="shared" si="8"/>
        <v>7011000</v>
      </c>
      <c r="P12" s="182"/>
    </row>
    <row r="13" spans="1:16" x14ac:dyDescent="0.2">
      <c r="A13" s="347" t="s">
        <v>854</v>
      </c>
      <c r="B13" s="348">
        <f t="shared" ref="B13:G13" si="9">+B96</f>
        <v>663336.62109160039</v>
      </c>
      <c r="C13" s="348">
        <f t="shared" si="9"/>
        <v>650177.30887123069</v>
      </c>
      <c r="D13" s="348">
        <f t="shared" si="9"/>
        <v>647820.85332399583</v>
      </c>
      <c r="E13" s="348">
        <f t="shared" si="9"/>
        <v>657255.41690489626</v>
      </c>
      <c r="F13" s="348">
        <f t="shared" si="9"/>
        <v>642600.92728694435</v>
      </c>
      <c r="G13" s="348">
        <f t="shared" si="9"/>
        <v>640782.72728694428</v>
      </c>
      <c r="H13" s="348">
        <f t="shared" ref="H13:I13" si="10">+H96</f>
        <v>678992.17486208898</v>
      </c>
      <c r="I13" s="348">
        <f t="shared" si="10"/>
        <v>633993.32728694426</v>
      </c>
      <c r="J13" s="348">
        <f t="shared" ref="J13:O13" si="11">+J96</f>
        <v>633993.32728694426</v>
      </c>
      <c r="K13" s="348">
        <f t="shared" si="11"/>
        <v>693407.97486208891</v>
      </c>
      <c r="L13" s="348">
        <f t="shared" si="11"/>
        <v>629498.09562249866</v>
      </c>
      <c r="M13" s="348">
        <f t="shared" si="11"/>
        <v>736509.30395651842</v>
      </c>
      <c r="N13" s="348">
        <f t="shared" si="11"/>
        <v>624821.75188065786</v>
      </c>
      <c r="O13" s="348">
        <f t="shared" si="11"/>
        <v>7432887</v>
      </c>
      <c r="P13" s="182"/>
    </row>
    <row r="14" spans="1:16" ht="12.75" thickBot="1" x14ac:dyDescent="0.25">
      <c r="A14" s="349" t="s">
        <v>855</v>
      </c>
      <c r="B14" s="350">
        <f t="shared" ref="B14:G14" si="12">+B107</f>
        <v>1000</v>
      </c>
      <c r="C14" s="350">
        <f t="shared" si="12"/>
        <v>1000</v>
      </c>
      <c r="D14" s="350">
        <f t="shared" si="12"/>
        <v>1000</v>
      </c>
      <c r="E14" s="350">
        <f t="shared" si="12"/>
        <v>1000</v>
      </c>
      <c r="F14" s="350">
        <f t="shared" si="12"/>
        <v>1000</v>
      </c>
      <c r="G14" s="350">
        <f t="shared" si="12"/>
        <v>1000</v>
      </c>
      <c r="H14" s="350">
        <f t="shared" ref="H14:I14" si="13">+H107</f>
        <v>1000</v>
      </c>
      <c r="I14" s="350">
        <f t="shared" si="13"/>
        <v>1000</v>
      </c>
      <c r="J14" s="350">
        <f t="shared" ref="J14:O14" si="14">+J107</f>
        <v>1000</v>
      </c>
      <c r="K14" s="350">
        <f t="shared" si="14"/>
        <v>39500</v>
      </c>
      <c r="L14" s="350">
        <f t="shared" si="14"/>
        <v>38500</v>
      </c>
      <c r="M14" s="350">
        <f t="shared" si="14"/>
        <v>29000</v>
      </c>
      <c r="N14" s="350">
        <f t="shared" si="14"/>
        <v>230000</v>
      </c>
      <c r="O14" s="350">
        <f t="shared" si="14"/>
        <v>200000</v>
      </c>
      <c r="P14" s="182"/>
    </row>
    <row r="15" spans="1:16" x14ac:dyDescent="0.2">
      <c r="A15" s="351" t="s">
        <v>435</v>
      </c>
      <c r="B15" s="352">
        <f t="shared" ref="B15:G15" si="15">IF(+B10+B11+B12-B13-B14&gt;0,+B10+B11+B12-B13-B14,0)</f>
        <v>581692.31681481295</v>
      </c>
      <c r="C15" s="352">
        <f t="shared" si="15"/>
        <v>785033.62903518265</v>
      </c>
      <c r="D15" s="352">
        <f t="shared" si="15"/>
        <v>787390.0845824175</v>
      </c>
      <c r="E15" s="352">
        <f t="shared" si="15"/>
        <v>777955.52100151707</v>
      </c>
      <c r="F15" s="352">
        <f t="shared" si="15"/>
        <v>792610.01061946899</v>
      </c>
      <c r="G15" s="352">
        <f t="shared" si="15"/>
        <v>794428.21061946906</v>
      </c>
      <c r="H15" s="352">
        <f t="shared" ref="H15:I15" si="16">IF(+H10+H11+H12-H13-H14&gt;0,+H10+H11+H12-H13-H14,0)</f>
        <v>789634.69224786421</v>
      </c>
      <c r="I15" s="352">
        <f t="shared" si="16"/>
        <v>962761.53982300893</v>
      </c>
      <c r="J15" s="352">
        <f t="shared" ref="J15:O15" si="17">IF(+J10+J11+J12-J13-J14&gt;0,+J10+J11+J12-J13-J14,0)</f>
        <v>376130.50442477886</v>
      </c>
      <c r="K15" s="352">
        <f t="shared" si="17"/>
        <v>563244.85684963409</v>
      </c>
      <c r="L15" s="352">
        <f t="shared" si="17"/>
        <v>1209301.2118406696</v>
      </c>
      <c r="M15" s="352">
        <f t="shared" si="17"/>
        <v>729014.28863210417</v>
      </c>
      <c r="N15" s="352">
        <f t="shared" si="17"/>
        <v>1005562.8852874837</v>
      </c>
      <c r="O15" s="352">
        <f t="shared" si="17"/>
        <v>569333</v>
      </c>
      <c r="P15" s="182"/>
    </row>
    <row r="16" spans="1:16" x14ac:dyDescent="0.2">
      <c r="A16" s="351" t="s">
        <v>434</v>
      </c>
      <c r="B16" s="353">
        <f t="shared" ref="B16:G16" si="18">IF(+B10+B11+B12-B13-B14&lt;0,+B10+B11+B12-B13-B14,0)</f>
        <v>0</v>
      </c>
      <c r="C16" s="353">
        <f t="shared" si="18"/>
        <v>0</v>
      </c>
      <c r="D16" s="353">
        <f t="shared" si="18"/>
        <v>0</v>
      </c>
      <c r="E16" s="353">
        <f t="shared" si="18"/>
        <v>0</v>
      </c>
      <c r="F16" s="353">
        <f t="shared" si="18"/>
        <v>0</v>
      </c>
      <c r="G16" s="353">
        <f t="shared" si="18"/>
        <v>0</v>
      </c>
      <c r="H16" s="353">
        <f t="shared" ref="H16:I16" si="19">IF(+H10+H11+H12-H13-H14&lt;0,+H10+H11+H12-H13-H14,0)</f>
        <v>0</v>
      </c>
      <c r="I16" s="353">
        <f t="shared" si="19"/>
        <v>0</v>
      </c>
      <c r="J16" s="353">
        <f t="shared" ref="J16:O16" si="20">IF(+J10+J11+J12-J13-J14&lt;0,+J10+J11+J12-J13-J14,0)</f>
        <v>0</v>
      </c>
      <c r="K16" s="353">
        <f t="shared" si="20"/>
        <v>0</v>
      </c>
      <c r="L16" s="353">
        <f t="shared" si="20"/>
        <v>0</v>
      </c>
      <c r="M16" s="353">
        <f t="shared" si="20"/>
        <v>0</v>
      </c>
      <c r="N16" s="353">
        <f t="shared" si="20"/>
        <v>0</v>
      </c>
      <c r="O16" s="352">
        <f t="shared" si="20"/>
        <v>0</v>
      </c>
      <c r="P16" s="182"/>
    </row>
    <row r="17" spans="1:17" ht="24" x14ac:dyDescent="0.2">
      <c r="A17" s="354" t="s">
        <v>436</v>
      </c>
      <c r="B17" s="918"/>
      <c r="C17" s="355"/>
      <c r="D17" s="355"/>
      <c r="E17" s="355"/>
      <c r="F17" s="355"/>
      <c r="G17" s="355"/>
      <c r="H17" s="355"/>
      <c r="I17" s="355"/>
      <c r="J17" s="355"/>
      <c r="K17" s="355"/>
      <c r="L17" s="355"/>
      <c r="M17" s="355"/>
      <c r="N17" s="339"/>
      <c r="O17" s="340"/>
      <c r="P17" s="182"/>
      <c r="Q17" s="356"/>
    </row>
    <row r="18" spans="1:17" x14ac:dyDescent="0.2">
      <c r="A18" s="351" t="s">
        <v>437</v>
      </c>
      <c r="B18" s="352">
        <f t="shared" ref="B18:G18" si="21">+B15-B17</f>
        <v>581692.31681481295</v>
      </c>
      <c r="C18" s="352">
        <f t="shared" si="21"/>
        <v>785033.62903518265</v>
      </c>
      <c r="D18" s="352">
        <f t="shared" si="21"/>
        <v>787390.0845824175</v>
      </c>
      <c r="E18" s="352">
        <f t="shared" si="21"/>
        <v>777955.52100151707</v>
      </c>
      <c r="F18" s="352">
        <f t="shared" si="21"/>
        <v>792610.01061946899</v>
      </c>
      <c r="G18" s="352">
        <f t="shared" si="21"/>
        <v>794428.21061946906</v>
      </c>
      <c r="H18" s="352">
        <f t="shared" ref="H18:I18" si="22">+H15-H17</f>
        <v>789634.69224786421</v>
      </c>
      <c r="I18" s="352">
        <f t="shared" si="22"/>
        <v>962761.53982300893</v>
      </c>
      <c r="J18" s="352">
        <f t="shared" ref="J18:O18" si="23">+J15-J17</f>
        <v>376130.50442477886</v>
      </c>
      <c r="K18" s="352">
        <f t="shared" si="23"/>
        <v>563244.85684963409</v>
      </c>
      <c r="L18" s="352">
        <f t="shared" si="23"/>
        <v>1209301.2118406696</v>
      </c>
      <c r="M18" s="352">
        <f t="shared" si="23"/>
        <v>729014.28863210417</v>
      </c>
      <c r="N18" s="352">
        <f t="shared" si="23"/>
        <v>1005562.8852874837</v>
      </c>
      <c r="O18" s="353">
        <f t="shared" si="23"/>
        <v>569333</v>
      </c>
      <c r="P18" s="182"/>
    </row>
    <row r="19" spans="1:17" x14ac:dyDescent="0.2">
      <c r="A19" s="337" t="s">
        <v>278</v>
      </c>
      <c r="B19" s="917"/>
      <c r="C19" s="520">
        <v>0.3</v>
      </c>
      <c r="D19" s="520">
        <v>0.3</v>
      </c>
      <c r="E19" s="520">
        <v>0.3</v>
      </c>
      <c r="F19" s="520">
        <v>0.3</v>
      </c>
      <c r="G19" s="520">
        <v>0.3</v>
      </c>
      <c r="H19" s="520">
        <v>0.3</v>
      </c>
      <c r="I19" s="520">
        <v>0.3</v>
      </c>
      <c r="J19" s="520">
        <v>0.28000000000000003</v>
      </c>
      <c r="K19" s="520">
        <v>0.28000000000000003</v>
      </c>
      <c r="L19" s="520">
        <v>0.28000000000000003</v>
      </c>
      <c r="M19" s="520">
        <v>0.28999999999999998</v>
      </c>
      <c r="N19" s="520">
        <v>0.3</v>
      </c>
      <c r="O19" s="521">
        <v>0.33</v>
      </c>
      <c r="P19" s="182"/>
    </row>
    <row r="20" spans="1:17" x14ac:dyDescent="0.2">
      <c r="A20" s="337" t="s">
        <v>438</v>
      </c>
      <c r="B20" s="352">
        <v>226860</v>
      </c>
      <c r="C20" s="352">
        <f t="shared" ref="C20:G20" si="24">+C18*C19</f>
        <v>235510.08871055479</v>
      </c>
      <c r="D20" s="352">
        <f t="shared" si="24"/>
        <v>236217.02537472523</v>
      </c>
      <c r="E20" s="352">
        <f t="shared" si="24"/>
        <v>233386.65630045513</v>
      </c>
      <c r="F20" s="352">
        <f t="shared" si="24"/>
        <v>237783.00318584067</v>
      </c>
      <c r="G20" s="352">
        <f t="shared" si="24"/>
        <v>238328.46318584069</v>
      </c>
      <c r="H20" s="352">
        <f t="shared" ref="H20:I20" si="25">+H18*H19</f>
        <v>236890.40767435924</v>
      </c>
      <c r="I20" s="352">
        <f t="shared" si="25"/>
        <v>288828.46194690268</v>
      </c>
      <c r="J20" s="352">
        <f t="shared" ref="J20:O20" si="26">+J18*J19</f>
        <v>105316.54123893809</v>
      </c>
      <c r="K20" s="352">
        <f t="shared" si="26"/>
        <v>157708.55991789757</v>
      </c>
      <c r="L20" s="352">
        <f t="shared" si="26"/>
        <v>338604.33931538754</v>
      </c>
      <c r="M20" s="352">
        <f t="shared" si="26"/>
        <v>211414.1437033102</v>
      </c>
      <c r="N20" s="352">
        <f t="shared" si="26"/>
        <v>301668.86558624508</v>
      </c>
      <c r="O20" s="352">
        <f t="shared" si="26"/>
        <v>187879.89</v>
      </c>
      <c r="P20" s="182"/>
    </row>
    <row r="21" spans="1:17" x14ac:dyDescent="0.2">
      <c r="A21" s="357" t="s">
        <v>439</v>
      </c>
      <c r="B21" s="358"/>
      <c r="C21" s="358"/>
      <c r="D21" s="358"/>
      <c r="E21" s="358"/>
      <c r="F21" s="358"/>
      <c r="G21" s="358"/>
      <c r="H21" s="358"/>
      <c r="I21" s="358"/>
      <c r="J21" s="358"/>
      <c r="K21" s="358"/>
      <c r="L21" s="359">
        <v>138889</v>
      </c>
      <c r="M21" s="359">
        <v>200000</v>
      </c>
      <c r="N21" s="359">
        <v>200000</v>
      </c>
      <c r="O21" s="360">
        <v>196000</v>
      </c>
      <c r="P21" s="182"/>
    </row>
    <row r="22" spans="1:17" x14ac:dyDescent="0.2">
      <c r="A22" s="337" t="s">
        <v>466</v>
      </c>
      <c r="B22" s="358"/>
      <c r="C22" s="358"/>
      <c r="D22" s="358"/>
      <c r="E22" s="358"/>
      <c r="F22" s="358"/>
      <c r="G22" s="358"/>
      <c r="H22" s="358"/>
      <c r="I22" s="358"/>
      <c r="J22" s="358"/>
      <c r="K22" s="358"/>
      <c r="L22" s="361">
        <f>IF(+L21-L20&gt;0,+L21-L20,0)</f>
        <v>0</v>
      </c>
      <c r="M22" s="361">
        <f>IF(+M21-M20&gt;0,+M21-M20,0)</f>
        <v>0</v>
      </c>
      <c r="N22" s="361">
        <f>IF(+N21-N20&gt;0,+N21-N20,0)</f>
        <v>0</v>
      </c>
      <c r="O22" s="361">
        <f>IF(+O21-O20&gt;0,+O21-O20,0)</f>
        <v>8120.109999999986</v>
      </c>
      <c r="P22" s="182"/>
    </row>
    <row r="23" spans="1:17" x14ac:dyDescent="0.2">
      <c r="A23" s="337" t="s">
        <v>405</v>
      </c>
      <c r="B23" s="522">
        <f>+'PP ISR'!N17</f>
        <v>255714.24664016004</v>
      </c>
      <c r="C23" s="522">
        <f>+'PP ISR'!N37</f>
        <v>164872.40000000002</v>
      </c>
      <c r="D23" s="522">
        <f>+'PP ISR'!N56</f>
        <v>170760.69999999998</v>
      </c>
      <c r="E23" s="522">
        <v>178000</v>
      </c>
      <c r="F23" s="522">
        <v>178000</v>
      </c>
      <c r="G23" s="522">
        <v>178000</v>
      </c>
      <c r="H23" s="522">
        <v>178000</v>
      </c>
      <c r="I23" s="522">
        <v>178000</v>
      </c>
      <c r="J23" s="522">
        <v>178000</v>
      </c>
      <c r="K23" s="522">
        <v>178000</v>
      </c>
      <c r="L23" s="522">
        <v>178000</v>
      </c>
      <c r="M23" s="522">
        <v>180000</v>
      </c>
      <c r="N23" s="522">
        <v>180000</v>
      </c>
      <c r="O23" s="523">
        <v>130000</v>
      </c>
      <c r="P23" s="182"/>
    </row>
    <row r="24" spans="1:17" x14ac:dyDescent="0.2">
      <c r="A24" s="362" t="s">
        <v>53</v>
      </c>
      <c r="B24" s="363">
        <f t="shared" ref="B24:G24" si="27">+B20+B22-B23</f>
        <v>-28854.24664016004</v>
      </c>
      <c r="C24" s="363">
        <f t="shared" si="27"/>
        <v>70637.688710554765</v>
      </c>
      <c r="D24" s="363">
        <f t="shared" si="27"/>
        <v>65456.325374725246</v>
      </c>
      <c r="E24" s="363">
        <f t="shared" si="27"/>
        <v>55386.656300455128</v>
      </c>
      <c r="F24" s="363">
        <f t="shared" si="27"/>
        <v>59783.003185840673</v>
      </c>
      <c r="G24" s="363">
        <f t="shared" si="27"/>
        <v>60328.463185840694</v>
      </c>
      <c r="H24" s="363">
        <f t="shared" ref="H24:I24" si="28">+H20+H22-H23</f>
        <v>58890.407674359245</v>
      </c>
      <c r="I24" s="363">
        <f t="shared" si="28"/>
        <v>110828.46194690268</v>
      </c>
      <c r="J24" s="363">
        <f t="shared" ref="J24:O24" si="29">+J20+J22-J23</f>
        <v>-72683.458761061906</v>
      </c>
      <c r="K24" s="363">
        <f t="shared" si="29"/>
        <v>-20291.440082102432</v>
      </c>
      <c r="L24" s="363">
        <f t="shared" si="29"/>
        <v>160604.33931538754</v>
      </c>
      <c r="M24" s="363">
        <f t="shared" si="29"/>
        <v>31414.143703310197</v>
      </c>
      <c r="N24" s="363">
        <f t="shared" si="29"/>
        <v>121668.86558624508</v>
      </c>
      <c r="O24" s="363">
        <f t="shared" si="29"/>
        <v>66000</v>
      </c>
      <c r="P24" s="182"/>
    </row>
    <row r="25" spans="1:17" x14ac:dyDescent="0.2">
      <c r="A25" s="364"/>
      <c r="B25" s="404"/>
      <c r="C25" s="365">
        <f>+'RF y dividendos'!C13</f>
        <v>642427.62903518253</v>
      </c>
      <c r="D25" s="365">
        <f>+'RF y dividendos'!D13</f>
        <v>644784.08458241762</v>
      </c>
      <c r="E25" s="365">
        <f>+'RF y dividendos'!E13</f>
        <v>668765.45020505716</v>
      </c>
      <c r="F25" s="365">
        <f>+'RF y dividendos'!F13</f>
        <v>683419.93982300907</v>
      </c>
      <c r="G25" s="365">
        <f>+'RF y dividendos'!G13</f>
        <v>701946.10442477919</v>
      </c>
      <c r="H25" s="365">
        <f>+'RF y dividendos'!H13</f>
        <v>645554.65684963425</v>
      </c>
      <c r="I25" s="365">
        <f>+'RF y dividendos'!I13</f>
        <v>1072647.9801762255</v>
      </c>
      <c r="J25" s="365">
        <f>+'RF y dividendos'!J13</f>
        <v>622659.50442477886</v>
      </c>
      <c r="K25" s="364"/>
      <c r="L25" s="364"/>
      <c r="M25" s="364"/>
      <c r="N25" s="366"/>
      <c r="O25" s="366"/>
      <c r="P25" s="366"/>
    </row>
    <row r="26" spans="1:17" x14ac:dyDescent="0.2">
      <c r="A26" s="364"/>
      <c r="B26" s="404"/>
      <c r="C26" s="365">
        <f t="shared" ref="C26:G26" si="30">+C25-C15</f>
        <v>-142606.00000000012</v>
      </c>
      <c r="D26" s="365">
        <f t="shared" si="30"/>
        <v>-142605.99999999988</v>
      </c>
      <c r="E26" s="365">
        <f t="shared" si="30"/>
        <v>-109190.07079645991</v>
      </c>
      <c r="F26" s="365">
        <f t="shared" si="30"/>
        <v>-109190.07079645991</v>
      </c>
      <c r="G26" s="365">
        <f t="shared" si="30"/>
        <v>-92482.10619468987</v>
      </c>
      <c r="H26" s="365">
        <f t="shared" ref="H26:J26" si="31">+H25-H15</f>
        <v>-144080.03539822996</v>
      </c>
      <c r="I26" s="365">
        <f t="shared" si="31"/>
        <v>109886.4403532166</v>
      </c>
      <c r="J26" s="365">
        <f t="shared" si="31"/>
        <v>246529</v>
      </c>
      <c r="K26" s="364"/>
      <c r="L26" s="364"/>
      <c r="M26" s="364"/>
      <c r="N26" s="366"/>
      <c r="O26" s="366"/>
      <c r="P26" s="366"/>
    </row>
    <row r="27" spans="1:17" x14ac:dyDescent="0.2">
      <c r="A27" s="364"/>
      <c r="B27" s="364"/>
      <c r="C27" s="364"/>
      <c r="D27" s="364"/>
      <c r="E27" s="364"/>
      <c r="F27" s="364"/>
      <c r="G27" s="364"/>
      <c r="H27" s="364"/>
      <c r="I27" s="364"/>
      <c r="J27" s="364"/>
      <c r="K27" s="364"/>
      <c r="L27" s="364"/>
      <c r="M27" s="364"/>
      <c r="N27" s="366"/>
      <c r="O27" s="366"/>
      <c r="P27" s="366"/>
    </row>
    <row r="28" spans="1:17" x14ac:dyDescent="0.2">
      <c r="A28" s="364" t="s">
        <v>489</v>
      </c>
      <c r="B28" s="364"/>
      <c r="C28" s="364"/>
      <c r="D28" s="364"/>
      <c r="E28" s="364"/>
      <c r="F28" s="364"/>
      <c r="G28" s="364"/>
      <c r="H28" s="364"/>
      <c r="I28" s="364"/>
      <c r="J28" s="364"/>
      <c r="K28" s="364"/>
      <c r="L28" s="367"/>
      <c r="M28" s="367"/>
      <c r="N28" s="366"/>
      <c r="O28" s="366"/>
      <c r="P28" s="366"/>
    </row>
    <row r="29" spans="1:17" ht="12.75" thickBot="1" x14ac:dyDescent="0.25">
      <c r="A29" s="368" t="s">
        <v>432</v>
      </c>
      <c r="B29" s="369">
        <f t="shared" ref="B29:J29" si="32">+B4</f>
        <v>2017</v>
      </c>
      <c r="C29" s="369">
        <f t="shared" si="32"/>
        <v>2016</v>
      </c>
      <c r="D29" s="369">
        <f t="shared" si="32"/>
        <v>2015</v>
      </c>
      <c r="E29" s="369">
        <f t="shared" si="32"/>
        <v>2014</v>
      </c>
      <c r="F29" s="369">
        <f t="shared" si="32"/>
        <v>2013</v>
      </c>
      <c r="G29" s="369">
        <f t="shared" si="32"/>
        <v>2012</v>
      </c>
      <c r="H29" s="369">
        <f t="shared" si="32"/>
        <v>2011</v>
      </c>
      <c r="I29" s="369">
        <f t="shared" si="32"/>
        <v>2010</v>
      </c>
      <c r="J29" s="369">
        <f t="shared" si="32"/>
        <v>2009</v>
      </c>
      <c r="K29" s="369">
        <f t="shared" ref="K29:O29" si="33">+K4</f>
        <v>2008</v>
      </c>
      <c r="L29" s="369">
        <f t="shared" si="33"/>
        <v>2007</v>
      </c>
      <c r="M29" s="369">
        <f t="shared" si="33"/>
        <v>2006</v>
      </c>
      <c r="N29" s="369">
        <f t="shared" si="33"/>
        <v>2005</v>
      </c>
      <c r="O29" s="369">
        <f t="shared" si="33"/>
        <v>2004</v>
      </c>
      <c r="P29" s="366"/>
    </row>
    <row r="30" spans="1:17" x14ac:dyDescent="0.2">
      <c r="A30" s="370" t="s">
        <v>440</v>
      </c>
      <c r="B30" s="371"/>
      <c r="C30" s="371"/>
      <c r="D30" s="371"/>
      <c r="E30" s="371"/>
      <c r="F30" s="371"/>
      <c r="G30" s="371"/>
      <c r="H30" s="371"/>
      <c r="I30" s="371"/>
      <c r="J30" s="371"/>
      <c r="K30" s="371"/>
      <c r="L30" s="372"/>
      <c r="M30" s="372"/>
      <c r="N30" s="373"/>
      <c r="O30" s="374">
        <f>+'Otros puntos CCF'!O106</f>
        <v>0</v>
      </c>
      <c r="P30" s="366"/>
    </row>
    <row r="31" spans="1:17" x14ac:dyDescent="0.2">
      <c r="A31" s="370" t="s">
        <v>441</v>
      </c>
      <c r="B31" s="372">
        <v>1000</v>
      </c>
      <c r="C31" s="372">
        <v>1000</v>
      </c>
      <c r="D31" s="372">
        <v>1000</v>
      </c>
      <c r="E31" s="372">
        <v>1000</v>
      </c>
      <c r="F31" s="372">
        <v>1000</v>
      </c>
      <c r="G31" s="372">
        <v>1000</v>
      </c>
      <c r="H31" s="372">
        <v>1000</v>
      </c>
      <c r="I31" s="372">
        <v>1000</v>
      </c>
      <c r="J31" s="372">
        <v>1000</v>
      </c>
      <c r="K31" s="372">
        <v>1000</v>
      </c>
      <c r="L31" s="372">
        <f>+'Otros puntos CCF'!L9</f>
        <v>39500</v>
      </c>
      <c r="M31" s="372">
        <f>+'Otros puntos CCF'!M9</f>
        <v>38500</v>
      </c>
      <c r="N31" s="352">
        <f>+'Otros puntos CCF'!N9</f>
        <v>29000</v>
      </c>
      <c r="O31" s="375">
        <v>230000</v>
      </c>
      <c r="P31" s="366"/>
    </row>
    <row r="32" spans="1:17" ht="24" x14ac:dyDescent="0.2">
      <c r="A32" s="376" t="s">
        <v>128</v>
      </c>
      <c r="B32" s="377"/>
      <c r="C32" s="377"/>
      <c r="D32" s="377"/>
      <c r="E32" s="377"/>
      <c r="F32" s="377"/>
      <c r="G32" s="377"/>
      <c r="H32" s="377"/>
      <c r="I32" s="377"/>
      <c r="J32" s="377"/>
      <c r="K32" s="377"/>
      <c r="L32" s="372"/>
      <c r="M32" s="372"/>
      <c r="N32" s="378"/>
      <c r="O32" s="375"/>
      <c r="P32" s="366"/>
    </row>
    <row r="33" spans="1:16" ht="24" x14ac:dyDescent="0.2">
      <c r="A33" s="376" t="s">
        <v>129</v>
      </c>
      <c r="B33" s="377"/>
      <c r="C33" s="377"/>
      <c r="D33" s="377"/>
      <c r="E33" s="377"/>
      <c r="F33" s="377"/>
      <c r="G33" s="377"/>
      <c r="H33" s="377"/>
      <c r="I33" s="377"/>
      <c r="J33" s="377"/>
      <c r="K33" s="377"/>
      <c r="L33" s="372"/>
      <c r="M33" s="372"/>
      <c r="N33" s="373"/>
      <c r="O33" s="374"/>
      <c r="P33" s="366"/>
    </row>
    <row r="34" spans="1:16" ht="24" x14ac:dyDescent="0.2">
      <c r="A34" s="376" t="s">
        <v>130</v>
      </c>
      <c r="B34" s="377"/>
      <c r="C34" s="377"/>
      <c r="D34" s="377"/>
      <c r="E34" s="377"/>
      <c r="F34" s="377"/>
      <c r="G34" s="377"/>
      <c r="H34" s="377"/>
      <c r="I34" s="377"/>
      <c r="J34" s="377"/>
      <c r="K34" s="377"/>
      <c r="L34" s="372"/>
      <c r="M34" s="372"/>
      <c r="N34" s="373"/>
      <c r="O34" s="374"/>
      <c r="P34" s="366"/>
    </row>
    <row r="35" spans="1:16" x14ac:dyDescent="0.2">
      <c r="A35" s="370" t="s">
        <v>43</v>
      </c>
      <c r="B35" s="379">
        <f>+'RF y dividendos'!B8</f>
        <v>0</v>
      </c>
      <c r="C35" s="379">
        <f>+'RF y dividendos'!C8</f>
        <v>0</v>
      </c>
      <c r="D35" s="379">
        <f>+'RF y dividendos'!D8</f>
        <v>0</v>
      </c>
      <c r="E35" s="379">
        <f>+'RF y dividendos'!E8</f>
        <v>0</v>
      </c>
      <c r="F35" s="379">
        <f>+'RF y dividendos'!F8</f>
        <v>0</v>
      </c>
      <c r="G35" s="379">
        <f>+'RF y dividendos'!G8</f>
        <v>0</v>
      </c>
      <c r="H35" s="379">
        <f>+'RF y dividendos'!H8</f>
        <v>33415.929203539825</v>
      </c>
      <c r="I35" s="379">
        <f>+'RF y dividendos'!I8</f>
        <v>33415.929203539825</v>
      </c>
      <c r="J35" s="379">
        <f>+'RF y dividendos'!J8</f>
        <v>50123.893805309737</v>
      </c>
      <c r="K35" s="379">
        <f>+'RF y dividendos'!K8</f>
        <v>50123.893805309737</v>
      </c>
      <c r="L35" s="379">
        <f>+'RF y dividendos'!L8</f>
        <v>75185.840707964613</v>
      </c>
      <c r="M35" s="379">
        <f>+'RF y dividendos'!M8</f>
        <v>75185.840707964613</v>
      </c>
      <c r="N35" s="379">
        <f>+'RF y dividendos'!N8</f>
        <v>100247.78761061949</v>
      </c>
      <c r="O35" s="379">
        <f>+'RF y dividendos'!O8</f>
        <v>0</v>
      </c>
      <c r="P35" s="366"/>
    </row>
    <row r="36" spans="1:16" ht="24" x14ac:dyDescent="0.2">
      <c r="A36" s="354" t="s">
        <v>497</v>
      </c>
      <c r="B36" s="380"/>
      <c r="C36" s="380"/>
      <c r="D36" s="380"/>
      <c r="E36" s="380"/>
      <c r="F36" s="380"/>
      <c r="G36" s="380"/>
      <c r="H36" s="380"/>
      <c r="I36" s="380"/>
      <c r="J36" s="380"/>
      <c r="K36" s="380"/>
      <c r="L36" s="380"/>
      <c r="M36" s="380"/>
      <c r="N36" s="352">
        <f>+'Acum inventario'!F40</f>
        <v>21000</v>
      </c>
      <c r="O36" s="381"/>
      <c r="P36" s="366"/>
    </row>
    <row r="37" spans="1:16" ht="24" x14ac:dyDescent="0.2">
      <c r="A37" s="354" t="s">
        <v>44</v>
      </c>
      <c r="B37" s="382"/>
      <c r="C37" s="382"/>
      <c r="D37" s="382"/>
      <c r="E37" s="382"/>
      <c r="F37" s="382"/>
      <c r="G37" s="382"/>
      <c r="H37" s="382"/>
      <c r="I37" s="382"/>
      <c r="J37" s="382"/>
      <c r="K37" s="382"/>
      <c r="L37" s="383">
        <f>+'Acum inventario'!E179</f>
        <v>258973.45132743364</v>
      </c>
      <c r="M37" s="383"/>
      <c r="N37" s="352">
        <f>IF(+'Acum inventario'!E135&gt;0,+'Acum inventario'!E135,0)</f>
        <v>354208.8495575221</v>
      </c>
      <c r="O37" s="381"/>
      <c r="P37" s="366"/>
    </row>
    <row r="38" spans="1:16" x14ac:dyDescent="0.2">
      <c r="A38" s="370" t="s">
        <v>498</v>
      </c>
      <c r="B38" s="371"/>
      <c r="C38" s="371"/>
      <c r="D38" s="371"/>
      <c r="E38" s="371"/>
      <c r="F38" s="371"/>
      <c r="G38" s="371"/>
      <c r="H38" s="371"/>
      <c r="I38" s="371"/>
      <c r="J38" s="371"/>
      <c r="K38" s="371"/>
      <c r="L38" s="384"/>
      <c r="M38" s="384"/>
      <c r="N38" s="353">
        <f>+'Otros puntos CCF'!O27</f>
        <v>55000</v>
      </c>
      <c r="O38" s="374">
        <f>+'Otros puntos CCF'!P27</f>
        <v>27000</v>
      </c>
      <c r="P38" s="366"/>
    </row>
    <row r="39" spans="1:16" ht="24" x14ac:dyDescent="0.2">
      <c r="A39" s="354" t="s">
        <v>244</v>
      </c>
      <c r="B39" s="379">
        <f>+'Otros puntos CCF'!C17</f>
        <v>33808.937906413361</v>
      </c>
      <c r="C39" s="379">
        <f>+'Otros puntos CCF'!D17</f>
        <v>33808.937906413361</v>
      </c>
      <c r="D39" s="379">
        <f>+'Otros puntos CCF'!E17</f>
        <v>33808.937906413361</v>
      </c>
      <c r="E39" s="379">
        <f>+'Otros puntos CCF'!F17</f>
        <v>33808.937906413361</v>
      </c>
      <c r="F39" s="379">
        <f>+'Otros puntos CCF'!G17</f>
        <v>33808.937906413361</v>
      </c>
      <c r="G39" s="379">
        <f>+'Otros puntos CCF'!H17</f>
        <v>33808.937906413361</v>
      </c>
      <c r="H39" s="379">
        <f>+'Otros puntos CCF'!I17</f>
        <v>33808.937906413361</v>
      </c>
      <c r="I39" s="379">
        <f>+'Otros puntos CCF'!J17</f>
        <v>33808.937906413361</v>
      </c>
      <c r="J39" s="379">
        <f>+'Otros puntos CCF'!K17</f>
        <v>33808.937906413361</v>
      </c>
      <c r="K39" s="379">
        <f>+'Otros puntos CCF'!L17</f>
        <v>33808.937906413361</v>
      </c>
      <c r="L39" s="379">
        <f>+'Otros puntos CCF'!M17</f>
        <v>32953.015427769984</v>
      </c>
      <c r="M39" s="379">
        <f>+'Otros puntos CCF'!N17</f>
        <v>24821.75188065791</v>
      </c>
      <c r="N39" s="385"/>
      <c r="O39" s="386"/>
      <c r="P39" s="366"/>
    </row>
    <row r="40" spans="1:16" ht="19.5" customHeight="1" x14ac:dyDescent="0.2">
      <c r="A40" s="354" t="s">
        <v>248</v>
      </c>
      <c r="B40" s="372">
        <f t="shared" ref="B40" si="34">+C80</f>
        <v>75000</v>
      </c>
      <c r="C40" s="372">
        <f t="shared" ref="C40" si="35">+D80</f>
        <v>75000</v>
      </c>
      <c r="D40" s="372">
        <f t="shared" ref="D40" si="36">+E80</f>
        <v>75000</v>
      </c>
      <c r="E40" s="372">
        <f t="shared" ref="E40" si="37">+F80</f>
        <v>75000</v>
      </c>
      <c r="F40" s="372">
        <f t="shared" ref="F40" si="38">+G80</f>
        <v>75000</v>
      </c>
      <c r="G40" s="372">
        <f t="shared" ref="G40" si="39">+H80</f>
        <v>75000</v>
      </c>
      <c r="H40" s="372">
        <f t="shared" ref="H40:M40" si="40">+I80</f>
        <v>75000</v>
      </c>
      <c r="I40" s="372">
        <f t="shared" si="40"/>
        <v>75000</v>
      </c>
      <c r="J40" s="372">
        <f t="shared" si="40"/>
        <v>75000</v>
      </c>
      <c r="K40" s="372">
        <f t="shared" si="40"/>
        <v>75000</v>
      </c>
      <c r="L40" s="372">
        <f t="shared" si="40"/>
        <v>75000</v>
      </c>
      <c r="M40" s="372">
        <f t="shared" si="40"/>
        <v>60000</v>
      </c>
      <c r="N40" s="385"/>
      <c r="O40" s="386"/>
      <c r="P40" s="366"/>
    </row>
    <row r="41" spans="1:16" ht="24" x14ac:dyDescent="0.2">
      <c r="A41" s="387" t="s">
        <v>452</v>
      </c>
      <c r="B41" s="372">
        <f t="shared" ref="B41" si="41">+C52</f>
        <v>88000</v>
      </c>
      <c r="C41" s="372">
        <f t="shared" ref="C41" si="42">+D52</f>
        <v>88000</v>
      </c>
      <c r="D41" s="372">
        <f t="shared" ref="D41" si="43">+E52</f>
        <v>88000</v>
      </c>
      <c r="E41" s="372">
        <f t="shared" ref="E41" si="44">+F52</f>
        <v>88000</v>
      </c>
      <c r="F41" s="372">
        <f t="shared" ref="F41" si="45">+G52</f>
        <v>88000</v>
      </c>
      <c r="G41" s="372">
        <f t="shared" ref="G41" si="46">+H52</f>
        <v>88000</v>
      </c>
      <c r="H41" s="372">
        <f t="shared" ref="H41:M41" si="47">+I52</f>
        <v>88000</v>
      </c>
      <c r="I41" s="372">
        <f t="shared" si="47"/>
        <v>88000</v>
      </c>
      <c r="J41" s="372">
        <f t="shared" si="47"/>
        <v>88000</v>
      </c>
      <c r="K41" s="372">
        <f t="shared" si="47"/>
        <v>88000</v>
      </c>
      <c r="L41" s="372">
        <f t="shared" si="47"/>
        <v>88000</v>
      </c>
      <c r="M41" s="372">
        <f t="shared" si="47"/>
        <v>60000</v>
      </c>
      <c r="N41" s="378"/>
      <c r="O41" s="375"/>
      <c r="P41" s="366"/>
    </row>
    <row r="42" spans="1:16" ht="12.75" thickBot="1" x14ac:dyDescent="0.25">
      <c r="A42" s="388"/>
      <c r="B42" s="389"/>
      <c r="C42" s="389"/>
      <c r="D42" s="389"/>
      <c r="E42" s="389"/>
      <c r="F42" s="389"/>
      <c r="G42" s="389"/>
      <c r="H42" s="389"/>
      <c r="I42" s="389"/>
      <c r="J42" s="389"/>
      <c r="K42" s="389"/>
      <c r="L42" s="390"/>
      <c r="M42" s="390"/>
      <c r="N42" s="391"/>
      <c r="O42" s="392"/>
      <c r="P42" s="366"/>
    </row>
    <row r="43" spans="1:16" ht="12.75" thickBot="1" x14ac:dyDescent="0.25">
      <c r="A43" s="393" t="s">
        <v>442</v>
      </c>
      <c r="B43" s="394">
        <f>SUM(B30:B42)</f>
        <v>197808.93790641337</v>
      </c>
      <c r="C43" s="394">
        <f t="shared" ref="C43:G43" si="48">SUM(C30:C42)</f>
        <v>197808.93790641337</v>
      </c>
      <c r="D43" s="394">
        <f t="shared" si="48"/>
        <v>197808.93790641337</v>
      </c>
      <c r="E43" s="394">
        <f t="shared" si="48"/>
        <v>197808.93790641337</v>
      </c>
      <c r="F43" s="394">
        <f t="shared" si="48"/>
        <v>197808.93790641337</v>
      </c>
      <c r="G43" s="394">
        <f t="shared" si="48"/>
        <v>197808.93790641337</v>
      </c>
      <c r="H43" s="394">
        <f t="shared" ref="H43:I43" si="49">SUM(H30:H42)</f>
        <v>231224.86710995319</v>
      </c>
      <c r="I43" s="394">
        <f t="shared" si="49"/>
        <v>231224.86710995319</v>
      </c>
      <c r="J43" s="394">
        <f t="shared" ref="J43:O43" si="50">SUM(J30:J42)</f>
        <v>247932.83171172309</v>
      </c>
      <c r="K43" s="394">
        <f t="shared" si="50"/>
        <v>247932.83171172309</v>
      </c>
      <c r="L43" s="394">
        <f t="shared" si="50"/>
        <v>569612.30746316817</v>
      </c>
      <c r="M43" s="394">
        <f t="shared" si="50"/>
        <v>258507.59258862253</v>
      </c>
      <c r="N43" s="394">
        <f t="shared" si="50"/>
        <v>559456.63716814155</v>
      </c>
      <c r="O43" s="395">
        <f t="shared" si="50"/>
        <v>257000</v>
      </c>
      <c r="P43" s="366"/>
    </row>
    <row r="44" spans="1:16" x14ac:dyDescent="0.2">
      <c r="A44" s="364"/>
      <c r="B44" s="364"/>
      <c r="C44" s="364"/>
      <c r="D44" s="364"/>
      <c r="E44" s="364"/>
      <c r="F44" s="364"/>
      <c r="G44" s="364"/>
      <c r="H44" s="364"/>
      <c r="I44" s="364"/>
      <c r="J44" s="364"/>
      <c r="K44" s="364"/>
      <c r="L44" s="364"/>
      <c r="M44" s="364"/>
      <c r="N44" s="366"/>
      <c r="O44" s="366"/>
      <c r="P44" s="366"/>
    </row>
    <row r="45" spans="1:16" x14ac:dyDescent="0.2">
      <c r="A45" s="364"/>
      <c r="B45" s="364"/>
      <c r="C45" s="364"/>
      <c r="D45" s="364"/>
      <c r="E45" s="364"/>
      <c r="F45" s="364"/>
      <c r="G45" s="364"/>
      <c r="H45" s="364"/>
      <c r="I45" s="364"/>
      <c r="J45" s="364"/>
      <c r="K45" s="364"/>
      <c r="L45" s="364"/>
      <c r="M45" s="364"/>
      <c r="N45" s="366"/>
      <c r="O45" s="366"/>
      <c r="P45" s="366"/>
    </row>
    <row r="46" spans="1:16" x14ac:dyDescent="0.2">
      <c r="A46" s="396"/>
      <c r="B46" s="396"/>
      <c r="C46" s="396"/>
      <c r="D46" s="396"/>
      <c r="E46" s="396"/>
      <c r="F46" s="396"/>
      <c r="G46" s="396"/>
      <c r="H46" s="396"/>
      <c r="I46" s="396"/>
      <c r="J46" s="396"/>
      <c r="K46" s="396"/>
      <c r="L46" s="396"/>
      <c r="M46" s="396"/>
      <c r="N46" s="366"/>
      <c r="O46" s="366"/>
      <c r="P46" s="366"/>
    </row>
    <row r="47" spans="1:16" ht="12.75" thickBot="1" x14ac:dyDescent="0.25">
      <c r="A47" s="397" t="s">
        <v>490</v>
      </c>
      <c r="B47" s="397"/>
      <c r="C47" s="397"/>
      <c r="D47" s="397"/>
      <c r="E47" s="397"/>
      <c r="F47" s="397"/>
      <c r="G47" s="397"/>
      <c r="H47" s="397"/>
      <c r="I47" s="397"/>
      <c r="J47" s="397"/>
      <c r="K47" s="397"/>
      <c r="L47" s="398"/>
      <c r="M47" s="398"/>
      <c r="N47" s="399"/>
      <c r="O47" s="399"/>
      <c r="P47" s="366"/>
    </row>
    <row r="48" spans="1:16" ht="12.75" thickBot="1" x14ac:dyDescent="0.25">
      <c r="A48" s="326" t="s">
        <v>432</v>
      </c>
      <c r="B48" s="328">
        <f t="shared" ref="B48:G48" si="51">+B29</f>
        <v>2017</v>
      </c>
      <c r="C48" s="328">
        <f t="shared" si="51"/>
        <v>2016</v>
      </c>
      <c r="D48" s="328">
        <f t="shared" si="51"/>
        <v>2015</v>
      </c>
      <c r="E48" s="328">
        <f t="shared" si="51"/>
        <v>2014</v>
      </c>
      <c r="F48" s="328">
        <f t="shared" si="51"/>
        <v>2013</v>
      </c>
      <c r="G48" s="328">
        <f t="shared" si="51"/>
        <v>2012</v>
      </c>
      <c r="H48" s="328">
        <f>+H29</f>
        <v>2011</v>
      </c>
      <c r="I48" s="328">
        <f>+I29</f>
        <v>2010</v>
      </c>
      <c r="J48" s="328">
        <f t="shared" ref="J48:O48" si="52">+J29</f>
        <v>2009</v>
      </c>
      <c r="K48" s="328">
        <f t="shared" si="52"/>
        <v>2008</v>
      </c>
      <c r="L48" s="328">
        <f t="shared" si="52"/>
        <v>2007</v>
      </c>
      <c r="M48" s="328">
        <f t="shared" si="52"/>
        <v>2006</v>
      </c>
      <c r="N48" s="328">
        <f t="shared" si="52"/>
        <v>2005</v>
      </c>
      <c r="O48" s="328">
        <f t="shared" si="52"/>
        <v>2004</v>
      </c>
      <c r="P48" s="366"/>
    </row>
    <row r="49" spans="1:17" x14ac:dyDescent="0.2">
      <c r="A49" s="357" t="s">
        <v>500</v>
      </c>
      <c r="B49" s="400"/>
      <c r="C49" s="400"/>
      <c r="D49" s="400"/>
      <c r="E49" s="400"/>
      <c r="F49" s="400"/>
      <c r="G49" s="400"/>
      <c r="H49" s="400"/>
      <c r="I49" s="400"/>
      <c r="J49" s="400"/>
      <c r="K49" s="400"/>
      <c r="L49" s="401"/>
      <c r="M49" s="401"/>
      <c r="N49" s="402"/>
      <c r="O49" s="403">
        <f>+ER!O24</f>
        <v>6433000</v>
      </c>
      <c r="P49" s="404"/>
      <c r="Q49" s="190"/>
    </row>
    <row r="50" spans="1:17" x14ac:dyDescent="0.2">
      <c r="A50" s="405" t="s">
        <v>530</v>
      </c>
      <c r="B50" s="247">
        <f>+'Otros puntos CCF'!B90</f>
        <v>157000</v>
      </c>
      <c r="C50" s="247">
        <f>+'Otros puntos CCF'!C90</f>
        <v>157000</v>
      </c>
      <c r="D50" s="247">
        <f>+'Otros puntos CCF'!D90</f>
        <v>157000</v>
      </c>
      <c r="E50" s="247">
        <f>+'Otros puntos CCF'!E90</f>
        <v>157000</v>
      </c>
      <c r="F50" s="247">
        <f>+'Otros puntos CCF'!F90</f>
        <v>157000</v>
      </c>
      <c r="G50" s="247">
        <f>+'Otros puntos CCF'!G90</f>
        <v>157000</v>
      </c>
      <c r="H50" s="247">
        <f>+'Otros puntos CCF'!H90</f>
        <v>157000</v>
      </c>
      <c r="I50" s="247">
        <f>+'Otros puntos CCF'!I90</f>
        <v>157000</v>
      </c>
      <c r="J50" s="247">
        <f>+'Otros puntos CCF'!J90</f>
        <v>157000</v>
      </c>
      <c r="K50" s="247">
        <f>+'Otros puntos CCF'!K90</f>
        <v>157000</v>
      </c>
      <c r="L50" s="247">
        <f>+'Otros puntos CCF'!L90</f>
        <v>157000</v>
      </c>
      <c r="M50" s="247">
        <f>+'Otros puntos CCF'!M90</f>
        <v>157000</v>
      </c>
      <c r="N50" s="406">
        <f>+'Otros puntos CCF'!N90</f>
        <v>156000</v>
      </c>
      <c r="O50" s="407">
        <f>+'Otros puntos CCF'!O93</f>
        <v>275000</v>
      </c>
      <c r="P50" s="404"/>
      <c r="Q50" s="190"/>
    </row>
    <row r="51" spans="1:17" ht="24" x14ac:dyDescent="0.2">
      <c r="A51" s="274" t="s">
        <v>499</v>
      </c>
      <c r="B51" s="247">
        <f>+'Otros puntos CCF'!B91</f>
        <v>51000</v>
      </c>
      <c r="C51" s="247">
        <f>+'Otros puntos CCF'!C91</f>
        <v>51000</v>
      </c>
      <c r="D51" s="247">
        <f>+'Otros puntos CCF'!D91</f>
        <v>51000</v>
      </c>
      <c r="E51" s="247">
        <f>+'Otros puntos CCF'!E91</f>
        <v>51000</v>
      </c>
      <c r="F51" s="247">
        <f>+'Otros puntos CCF'!F91</f>
        <v>51000</v>
      </c>
      <c r="G51" s="247">
        <f>+'Otros puntos CCF'!G91</f>
        <v>51000</v>
      </c>
      <c r="H51" s="247">
        <f>+'Otros puntos CCF'!H91</f>
        <v>51000</v>
      </c>
      <c r="I51" s="247">
        <f>+'Otros puntos CCF'!I91</f>
        <v>51000</v>
      </c>
      <c r="J51" s="247">
        <f>+'Otros puntos CCF'!J91</f>
        <v>51000</v>
      </c>
      <c r="K51" s="247">
        <f>+'Otros puntos CCF'!K91</f>
        <v>51000</v>
      </c>
      <c r="L51" s="247">
        <f>+'Otros puntos CCF'!L91</f>
        <v>51000</v>
      </c>
      <c r="M51" s="247">
        <f>+'Otros puntos CCF'!M91</f>
        <v>51000</v>
      </c>
      <c r="N51" s="408">
        <f>+'Otros puntos CCF'!N91</f>
        <v>50000</v>
      </c>
      <c r="O51" s="409"/>
      <c r="P51" s="404"/>
      <c r="Q51" s="190"/>
    </row>
    <row r="52" spans="1:17" ht="24" x14ac:dyDescent="0.2">
      <c r="A52" s="274" t="s">
        <v>286</v>
      </c>
      <c r="B52" s="410">
        <f>+'Otros puntos CCF'!B92</f>
        <v>88000</v>
      </c>
      <c r="C52" s="410">
        <f>+'Otros puntos CCF'!C92</f>
        <v>88000</v>
      </c>
      <c r="D52" s="410">
        <f>+'Otros puntos CCF'!D92</f>
        <v>88000</v>
      </c>
      <c r="E52" s="410">
        <f>+'Otros puntos CCF'!E92</f>
        <v>88000</v>
      </c>
      <c r="F52" s="410">
        <f>+'Otros puntos CCF'!F92</f>
        <v>88000</v>
      </c>
      <c r="G52" s="410">
        <f>+'Otros puntos CCF'!G92</f>
        <v>88000</v>
      </c>
      <c r="H52" s="410">
        <f>+'Otros puntos CCF'!H92</f>
        <v>88000</v>
      </c>
      <c r="I52" s="410">
        <f>+'Otros puntos CCF'!I92</f>
        <v>88000</v>
      </c>
      <c r="J52" s="410">
        <f>+'Otros puntos CCF'!J92</f>
        <v>88000</v>
      </c>
      <c r="K52" s="410">
        <f>+'Otros puntos CCF'!K92</f>
        <v>88000</v>
      </c>
      <c r="L52" s="410">
        <f>+'Otros puntos CCF'!L92</f>
        <v>88000</v>
      </c>
      <c r="M52" s="410">
        <f>+'Otros puntos CCF'!M92</f>
        <v>88000</v>
      </c>
      <c r="N52" s="410">
        <f>+'Otros puntos CCF'!N92</f>
        <v>60000</v>
      </c>
      <c r="O52" s="409"/>
      <c r="P52" s="404"/>
      <c r="Q52" s="190"/>
    </row>
    <row r="53" spans="1:17" x14ac:dyDescent="0.2">
      <c r="A53" s="405" t="s">
        <v>826</v>
      </c>
      <c r="B53" s="193"/>
      <c r="C53" s="193"/>
      <c r="D53" s="193"/>
      <c r="E53" s="193"/>
      <c r="F53" s="193"/>
      <c r="G53" s="193"/>
      <c r="H53" s="193"/>
      <c r="I53" s="193"/>
      <c r="J53" s="193"/>
      <c r="K53" s="193"/>
      <c r="L53" s="247"/>
      <c r="M53" s="247"/>
      <c r="N53" s="408"/>
      <c r="O53" s="409"/>
      <c r="P53" s="404"/>
      <c r="Q53" s="190"/>
    </row>
    <row r="54" spans="1:17" x14ac:dyDescent="0.2">
      <c r="A54" s="405" t="s">
        <v>446</v>
      </c>
      <c r="B54" s="193">
        <v>15000</v>
      </c>
      <c r="C54" s="193">
        <v>15000</v>
      </c>
      <c r="D54" s="193">
        <v>15000</v>
      </c>
      <c r="E54" s="193">
        <v>15000</v>
      </c>
      <c r="F54" s="193">
        <v>15000</v>
      </c>
      <c r="G54" s="193">
        <v>15000</v>
      </c>
      <c r="H54" s="193">
        <v>15000</v>
      </c>
      <c r="I54" s="193">
        <v>15000</v>
      </c>
      <c r="J54" s="193">
        <v>15000</v>
      </c>
      <c r="K54" s="193">
        <v>15000</v>
      </c>
      <c r="L54" s="193">
        <v>15000</v>
      </c>
      <c r="M54" s="193">
        <v>15000</v>
      </c>
      <c r="N54" s="193">
        <v>15000</v>
      </c>
      <c r="O54" s="193">
        <v>15000</v>
      </c>
      <c r="P54" s="404"/>
      <c r="Q54" s="190"/>
    </row>
    <row r="55" spans="1:17" x14ac:dyDescent="0.2">
      <c r="A55" s="274" t="s">
        <v>134</v>
      </c>
      <c r="B55" s="411">
        <v>16000</v>
      </c>
      <c r="C55" s="411">
        <v>16000</v>
      </c>
      <c r="D55" s="411">
        <v>16000</v>
      </c>
      <c r="E55" s="411">
        <v>16000</v>
      </c>
      <c r="F55" s="411">
        <v>16000</v>
      </c>
      <c r="G55" s="411">
        <v>16000</v>
      </c>
      <c r="H55" s="411">
        <v>16000</v>
      </c>
      <c r="I55" s="411">
        <v>16000</v>
      </c>
      <c r="J55" s="411">
        <v>16000</v>
      </c>
      <c r="K55" s="411">
        <v>16000</v>
      </c>
      <c r="L55" s="411">
        <v>16000</v>
      </c>
      <c r="M55" s="411">
        <v>16000</v>
      </c>
      <c r="N55" s="411">
        <v>16000</v>
      </c>
      <c r="O55" s="411">
        <v>16000</v>
      </c>
      <c r="P55" s="404"/>
      <c r="Q55" s="190"/>
    </row>
    <row r="56" spans="1:17" x14ac:dyDescent="0.2">
      <c r="A56" s="405" t="s">
        <v>443</v>
      </c>
      <c r="B56" s="412">
        <v>226860</v>
      </c>
      <c r="C56" s="412">
        <v>190182</v>
      </c>
      <c r="D56" s="412">
        <v>190182</v>
      </c>
      <c r="E56" s="412">
        <v>190182</v>
      </c>
      <c r="F56" s="412">
        <v>190182</v>
      </c>
      <c r="G56" s="412">
        <v>190182</v>
      </c>
      <c r="H56" s="412">
        <v>190182</v>
      </c>
      <c r="I56" s="412">
        <v>318310</v>
      </c>
      <c r="J56" s="412"/>
      <c r="K56" s="412"/>
      <c r="L56" s="412">
        <v>259467</v>
      </c>
      <c r="M56" s="247">
        <v>137117</v>
      </c>
      <c r="N56" s="408">
        <v>209708</v>
      </c>
      <c r="O56" s="409"/>
      <c r="P56" s="404"/>
      <c r="Q56" s="190"/>
    </row>
    <row r="57" spans="1:17" x14ac:dyDescent="0.2">
      <c r="A57" s="405" t="s">
        <v>246</v>
      </c>
      <c r="B57" s="193"/>
      <c r="C57" s="193"/>
      <c r="D57" s="193"/>
      <c r="E57" s="193"/>
      <c r="F57" s="193"/>
      <c r="G57" s="193"/>
      <c r="H57" s="193"/>
      <c r="I57" s="193"/>
      <c r="J57" s="193"/>
      <c r="K57" s="193"/>
      <c r="L57" s="247"/>
      <c r="M57" s="247"/>
      <c r="N57" s="408"/>
      <c r="O57" s="409"/>
      <c r="P57" s="404"/>
      <c r="Q57" s="190"/>
    </row>
    <row r="58" spans="1:17" x14ac:dyDescent="0.2">
      <c r="A58" s="405" t="s">
        <v>444</v>
      </c>
      <c r="B58" s="193"/>
      <c r="C58" s="193"/>
      <c r="D58" s="193"/>
      <c r="E58" s="193"/>
      <c r="F58" s="193"/>
      <c r="G58" s="193"/>
      <c r="H58" s="193"/>
      <c r="I58" s="193"/>
      <c r="J58" s="193"/>
      <c r="K58" s="193"/>
      <c r="L58" s="412">
        <v>0</v>
      </c>
      <c r="M58" s="247">
        <v>62679</v>
      </c>
      <c r="N58" s="408"/>
      <c r="O58" s="409">
        <v>196000</v>
      </c>
      <c r="P58" s="404"/>
      <c r="Q58" s="190"/>
    </row>
    <row r="59" spans="1:17" x14ac:dyDescent="0.2">
      <c r="A59" s="413" t="s">
        <v>445</v>
      </c>
      <c r="B59" s="412">
        <v>58169</v>
      </c>
      <c r="C59" s="412">
        <f>-ER!C40</f>
        <v>71744</v>
      </c>
      <c r="D59" s="412">
        <f>-ER!D40</f>
        <v>71744</v>
      </c>
      <c r="E59" s="412">
        <f>-ER!E40</f>
        <v>71744</v>
      </c>
      <c r="F59" s="412">
        <f>-ER!F40</f>
        <v>71744</v>
      </c>
      <c r="G59" s="412">
        <f>-ER!G40</f>
        <v>71744</v>
      </c>
      <c r="H59" s="412">
        <f>-ER!H40</f>
        <v>67894</v>
      </c>
      <c r="I59" s="412">
        <f>-ER!I40</f>
        <v>127309</v>
      </c>
      <c r="J59" s="412">
        <f>-ER!J40</f>
        <v>0</v>
      </c>
      <c r="K59" s="412">
        <f>-ER!K40</f>
        <v>0</v>
      </c>
      <c r="L59" s="412">
        <f>-ER!L40</f>
        <v>0</v>
      </c>
      <c r="M59" s="412">
        <f>-ER!M40</f>
        <v>0</v>
      </c>
      <c r="N59" s="412">
        <f>-ER!N40</f>
        <v>0</v>
      </c>
      <c r="O59" s="412">
        <f>-ER!O40</f>
        <v>0</v>
      </c>
      <c r="P59" s="404"/>
      <c r="Q59" s="190"/>
    </row>
    <row r="60" spans="1:17" x14ac:dyDescent="0.2">
      <c r="A60" s="405" t="s">
        <v>247</v>
      </c>
      <c r="B60" s="193"/>
      <c r="C60" s="193"/>
      <c r="D60" s="193"/>
      <c r="E60" s="193"/>
      <c r="F60" s="193"/>
      <c r="G60" s="193"/>
      <c r="H60" s="193"/>
      <c r="I60" s="193"/>
      <c r="J60" s="193"/>
      <c r="K60" s="193"/>
      <c r="L60" s="247"/>
      <c r="M60" s="247"/>
      <c r="N60" s="408"/>
      <c r="O60" s="409"/>
      <c r="P60" s="404"/>
      <c r="Q60" s="190"/>
    </row>
    <row r="61" spans="1:17" x14ac:dyDescent="0.2">
      <c r="A61" s="274" t="s">
        <v>284</v>
      </c>
      <c r="B61" s="411"/>
      <c r="C61" s="411"/>
      <c r="D61" s="411"/>
      <c r="E61" s="411"/>
      <c r="F61" s="411"/>
      <c r="G61" s="411"/>
      <c r="H61" s="411"/>
      <c r="I61" s="411"/>
      <c r="J61" s="411"/>
      <c r="K61" s="411"/>
      <c r="L61" s="414"/>
      <c r="M61" s="414"/>
      <c r="N61" s="408"/>
      <c r="O61" s="409"/>
      <c r="P61" s="404"/>
      <c r="Q61" s="190"/>
    </row>
    <row r="62" spans="1:17" x14ac:dyDescent="0.2">
      <c r="A62" s="405" t="s">
        <v>449</v>
      </c>
      <c r="B62" s="193"/>
      <c r="C62" s="193"/>
      <c r="D62" s="193"/>
      <c r="E62" s="193"/>
      <c r="F62" s="193"/>
      <c r="G62" s="193"/>
      <c r="H62" s="193"/>
      <c r="I62" s="193"/>
      <c r="J62" s="193"/>
      <c r="K62" s="193"/>
      <c r="L62" s="247"/>
      <c r="M62" s="247"/>
      <c r="N62" s="408"/>
      <c r="O62" s="409"/>
      <c r="P62" s="404"/>
      <c r="Q62" s="190"/>
    </row>
    <row r="63" spans="1:17" x14ac:dyDescent="0.2">
      <c r="A63" s="405" t="s">
        <v>245</v>
      </c>
      <c r="B63" s="193"/>
      <c r="C63" s="193"/>
      <c r="D63" s="193"/>
      <c r="E63" s="193"/>
      <c r="F63" s="193"/>
      <c r="G63" s="193"/>
      <c r="H63" s="193"/>
      <c r="I63" s="193"/>
      <c r="J63" s="193"/>
      <c r="K63" s="193"/>
      <c r="L63" s="246"/>
      <c r="M63" s="246"/>
      <c r="N63" s="246"/>
      <c r="O63" s="246"/>
      <c r="P63" s="404"/>
      <c r="Q63" s="190"/>
    </row>
    <row r="64" spans="1:17" ht="24" x14ac:dyDescent="0.2">
      <c r="A64" s="415" t="s">
        <v>54</v>
      </c>
      <c r="B64" s="416"/>
      <c r="C64" s="416"/>
      <c r="D64" s="416"/>
      <c r="E64" s="416"/>
      <c r="F64" s="416"/>
      <c r="G64" s="416"/>
      <c r="H64" s="416"/>
      <c r="I64" s="416"/>
      <c r="J64" s="416"/>
      <c r="K64" s="416"/>
      <c r="L64" s="246"/>
      <c r="M64" s="246"/>
      <c r="N64" s="246"/>
      <c r="O64" s="246"/>
      <c r="P64" s="404"/>
      <c r="Q64" s="190"/>
    </row>
    <row r="65" spans="1:17" x14ac:dyDescent="0.2">
      <c r="A65" s="405" t="s">
        <v>447</v>
      </c>
      <c r="B65" s="193"/>
      <c r="C65" s="193"/>
      <c r="D65" s="193"/>
      <c r="E65" s="193"/>
      <c r="F65" s="193"/>
      <c r="G65" s="193"/>
      <c r="H65" s="193"/>
      <c r="I65" s="193"/>
      <c r="J65" s="193"/>
      <c r="K65" s="193"/>
      <c r="L65" s="247"/>
      <c r="M65" s="247"/>
      <c r="N65" s="408"/>
      <c r="O65" s="409"/>
      <c r="P65" s="404"/>
      <c r="Q65" s="190"/>
    </row>
    <row r="66" spans="1:17" ht="24" x14ac:dyDescent="0.2">
      <c r="A66" s="274" t="s">
        <v>827</v>
      </c>
      <c r="B66" s="411"/>
      <c r="C66" s="411"/>
      <c r="D66" s="411"/>
      <c r="E66" s="411"/>
      <c r="F66" s="411"/>
      <c r="G66" s="411"/>
      <c r="H66" s="411"/>
      <c r="I66" s="411"/>
      <c r="J66" s="411"/>
      <c r="K66" s="411"/>
      <c r="L66" s="414"/>
      <c r="M66" s="414"/>
      <c r="N66" s="408"/>
      <c r="O66" s="409"/>
      <c r="P66" s="404"/>
      <c r="Q66" s="190"/>
    </row>
    <row r="67" spans="1:17" x14ac:dyDescent="0.2">
      <c r="A67" s="274" t="s">
        <v>454</v>
      </c>
      <c r="B67" s="414">
        <f>+'Otros puntos CCF'!B39</f>
        <v>67000</v>
      </c>
      <c r="C67" s="414">
        <f>+'Otros puntos CCF'!C39</f>
        <v>67000</v>
      </c>
      <c r="D67" s="414">
        <f>+'Otros puntos CCF'!D39</f>
        <v>67000</v>
      </c>
      <c r="E67" s="414">
        <f>+'Otros puntos CCF'!E39</f>
        <v>67000</v>
      </c>
      <c r="F67" s="414">
        <f>+'Otros puntos CCF'!F39</f>
        <v>67000</v>
      </c>
      <c r="G67" s="414">
        <f>+'Otros puntos CCF'!G39</f>
        <v>67000</v>
      </c>
      <c r="H67" s="414">
        <f>+'Otros puntos CCF'!H39</f>
        <v>67000</v>
      </c>
      <c r="I67" s="414">
        <f>+'Otros puntos CCF'!I39</f>
        <v>67000</v>
      </c>
      <c r="J67" s="414">
        <f>+'Otros puntos CCF'!J39</f>
        <v>67000</v>
      </c>
      <c r="K67" s="414">
        <f>+'Otros puntos CCF'!K39</f>
        <v>67000</v>
      </c>
      <c r="L67" s="414">
        <f>+'Otros puntos CCF'!L39</f>
        <v>67000</v>
      </c>
      <c r="M67" s="414">
        <f>+'Otros puntos CCF'!M39</f>
        <v>55000</v>
      </c>
      <c r="N67" s="408">
        <f>+'Otros puntos CCF'!N39</f>
        <v>140000</v>
      </c>
      <c r="O67" s="409">
        <f>+'Otros puntos CCF'!O39</f>
        <v>76000</v>
      </c>
      <c r="P67" s="404"/>
      <c r="Q67" s="190"/>
    </row>
    <row r="68" spans="1:17" ht="24" x14ac:dyDescent="0.2">
      <c r="A68" s="274" t="s">
        <v>450</v>
      </c>
      <c r="B68" s="411"/>
      <c r="C68" s="411"/>
      <c r="D68" s="411"/>
      <c r="E68" s="411"/>
      <c r="F68" s="411"/>
      <c r="G68" s="411"/>
      <c r="H68" s="411"/>
      <c r="I68" s="411"/>
      <c r="J68" s="411"/>
      <c r="K68" s="411"/>
      <c r="L68" s="414"/>
      <c r="M68" s="414"/>
      <c r="N68" s="408"/>
      <c r="O68" s="409"/>
      <c r="P68" s="404"/>
      <c r="Q68" s="190"/>
    </row>
    <row r="69" spans="1:17" ht="12.75" thickBot="1" x14ac:dyDescent="0.25">
      <c r="A69" s="417"/>
      <c r="B69" s="418"/>
      <c r="C69" s="418"/>
      <c r="D69" s="418"/>
      <c r="E69" s="418"/>
      <c r="F69" s="418"/>
      <c r="G69" s="418"/>
      <c r="H69" s="418"/>
      <c r="I69" s="418"/>
      <c r="J69" s="418"/>
      <c r="K69" s="418"/>
      <c r="L69" s="419"/>
      <c r="M69" s="419"/>
      <c r="N69" s="420"/>
      <c r="O69" s="421"/>
      <c r="P69" s="404"/>
      <c r="Q69" s="190"/>
    </row>
    <row r="70" spans="1:17" ht="12.75" thickBot="1" x14ac:dyDescent="0.25">
      <c r="A70" s="422" t="s">
        <v>442</v>
      </c>
      <c r="B70" s="423">
        <f t="shared" ref="B70:G70" si="53">SUM(B49:B69)</f>
        <v>679029</v>
      </c>
      <c r="C70" s="423">
        <f t="shared" si="53"/>
        <v>655926</v>
      </c>
      <c r="D70" s="423">
        <f t="shared" si="53"/>
        <v>655926</v>
      </c>
      <c r="E70" s="423">
        <f t="shared" si="53"/>
        <v>655926</v>
      </c>
      <c r="F70" s="423">
        <f t="shared" si="53"/>
        <v>655926</v>
      </c>
      <c r="G70" s="423">
        <f t="shared" si="53"/>
        <v>655926</v>
      </c>
      <c r="H70" s="423">
        <f t="shared" ref="H70:I70" si="54">SUM(H49:H69)</f>
        <v>652076</v>
      </c>
      <c r="I70" s="423">
        <f t="shared" si="54"/>
        <v>839619</v>
      </c>
      <c r="J70" s="423">
        <f t="shared" ref="J70:O70" si="55">SUM(J49:J69)</f>
        <v>394000</v>
      </c>
      <c r="K70" s="423">
        <f t="shared" si="55"/>
        <v>394000</v>
      </c>
      <c r="L70" s="423">
        <f t="shared" si="55"/>
        <v>653467</v>
      </c>
      <c r="M70" s="423">
        <f t="shared" si="55"/>
        <v>581796</v>
      </c>
      <c r="N70" s="423">
        <f t="shared" si="55"/>
        <v>646708</v>
      </c>
      <c r="O70" s="424">
        <f t="shared" si="55"/>
        <v>7011000</v>
      </c>
      <c r="P70" s="404"/>
    </row>
    <row r="71" spans="1:17" x14ac:dyDescent="0.2">
      <c r="A71" s="366"/>
      <c r="B71" s="366"/>
      <c r="C71" s="366"/>
      <c r="D71" s="366"/>
      <c r="E71" s="366"/>
      <c r="F71" s="366"/>
      <c r="G71" s="366"/>
      <c r="H71" s="366"/>
      <c r="I71" s="366"/>
      <c r="J71" s="366"/>
      <c r="K71" s="366"/>
      <c r="L71" s="404"/>
      <c r="M71" s="404"/>
      <c r="N71" s="404"/>
      <c r="O71" s="404"/>
      <c r="P71" s="404"/>
    </row>
    <row r="72" spans="1:17" x14ac:dyDescent="0.2">
      <c r="A72" s="364"/>
      <c r="B72" s="364"/>
      <c r="C72" s="364"/>
      <c r="D72" s="364"/>
      <c r="E72" s="364"/>
      <c r="F72" s="364"/>
      <c r="G72" s="364"/>
      <c r="H72" s="364"/>
      <c r="I72" s="364"/>
      <c r="J72" s="364"/>
      <c r="K72" s="364"/>
      <c r="L72" s="364"/>
      <c r="M72" s="364"/>
      <c r="N72" s="404"/>
      <c r="O72" s="404"/>
      <c r="P72" s="366"/>
    </row>
    <row r="73" spans="1:17" x14ac:dyDescent="0.2">
      <c r="A73" s="364" t="s">
        <v>491</v>
      </c>
      <c r="B73" s="364"/>
      <c r="C73" s="364"/>
      <c r="D73" s="364"/>
      <c r="E73" s="364"/>
      <c r="F73" s="364"/>
      <c r="G73" s="364"/>
      <c r="H73" s="364"/>
      <c r="I73" s="364"/>
      <c r="J73" s="364"/>
      <c r="K73" s="364"/>
      <c r="L73" s="367"/>
      <c r="M73" s="367"/>
      <c r="N73" s="404"/>
      <c r="O73" s="404"/>
      <c r="P73" s="366"/>
    </row>
    <row r="74" spans="1:17" x14ac:dyDescent="0.2">
      <c r="A74" s="425" t="s">
        <v>432</v>
      </c>
      <c r="B74" s="426">
        <f t="shared" ref="B74:G74" si="56">+B48</f>
        <v>2017</v>
      </c>
      <c r="C74" s="426">
        <f t="shared" si="56"/>
        <v>2016</v>
      </c>
      <c r="D74" s="426">
        <f t="shared" si="56"/>
        <v>2015</v>
      </c>
      <c r="E74" s="426">
        <f t="shared" si="56"/>
        <v>2014</v>
      </c>
      <c r="F74" s="426">
        <f t="shared" si="56"/>
        <v>2013</v>
      </c>
      <c r="G74" s="426">
        <f t="shared" si="56"/>
        <v>2012</v>
      </c>
      <c r="H74" s="426">
        <f>+H48</f>
        <v>2011</v>
      </c>
      <c r="I74" s="426">
        <f>+I48</f>
        <v>2010</v>
      </c>
      <c r="J74" s="426">
        <f t="shared" ref="J74:O74" si="57">+J48</f>
        <v>2009</v>
      </c>
      <c r="K74" s="426">
        <f t="shared" si="57"/>
        <v>2008</v>
      </c>
      <c r="L74" s="426">
        <f t="shared" si="57"/>
        <v>2007</v>
      </c>
      <c r="M74" s="426">
        <f t="shared" si="57"/>
        <v>2006</v>
      </c>
      <c r="N74" s="426">
        <f t="shared" si="57"/>
        <v>2005</v>
      </c>
      <c r="O74" s="426">
        <f t="shared" si="57"/>
        <v>2004</v>
      </c>
      <c r="P74" s="366"/>
    </row>
    <row r="75" spans="1:17" x14ac:dyDescent="0.2">
      <c r="A75" s="193" t="s">
        <v>460</v>
      </c>
      <c r="B75" s="408">
        <f>+'Otros puntos CCF'!B105</f>
        <v>27092.192792719237</v>
      </c>
      <c r="C75" s="408">
        <f>+'Otros puntos CCF'!C105</f>
        <v>13441.096075321468</v>
      </c>
      <c r="D75" s="408">
        <f>+'Otros puntos CCF'!D105</f>
        <v>8523.2511050413959</v>
      </c>
      <c r="E75" s="408">
        <f>+'Otros puntos CCF'!E105</f>
        <v>16325.286078128975</v>
      </c>
      <c r="F75" s="408">
        <f>+'Otros puntos CCF'!F105</f>
        <v>0</v>
      </c>
      <c r="G75" s="408">
        <f>+'Otros puntos CCF'!G105</f>
        <v>0</v>
      </c>
      <c r="H75" s="408">
        <f>+'Otros puntos CCF'!H105</f>
        <v>0</v>
      </c>
      <c r="I75" s="408">
        <f>+'Otros puntos CCF'!I105</f>
        <v>0</v>
      </c>
      <c r="J75" s="408">
        <f>+'Otros puntos CCF'!J105</f>
        <v>0</v>
      </c>
      <c r="K75" s="408">
        <f>+'Otros puntos CCF'!K105</f>
        <v>0</v>
      </c>
      <c r="L75" s="408">
        <f>+'Otros puntos CCF'!L105</f>
        <v>0</v>
      </c>
      <c r="M75" s="408">
        <f>+'Otros puntos CCF'!M105</f>
        <v>0</v>
      </c>
      <c r="N75" s="408">
        <f>+'Otros puntos CCF'!N105</f>
        <v>0</v>
      </c>
      <c r="O75" s="409"/>
      <c r="P75" s="366"/>
    </row>
    <row r="76" spans="1:17" x14ac:dyDescent="0.2">
      <c r="A76" s="193" t="s">
        <v>455</v>
      </c>
      <c r="B76" s="427"/>
      <c r="C76" s="427"/>
      <c r="D76" s="427"/>
      <c r="E76" s="427"/>
      <c r="F76" s="427"/>
      <c r="G76" s="427"/>
      <c r="H76" s="427"/>
      <c r="I76" s="427"/>
      <c r="J76" s="427"/>
      <c r="K76" s="427"/>
      <c r="L76" s="427"/>
      <c r="M76" s="427"/>
      <c r="N76" s="427"/>
      <c r="O76" s="409">
        <f>+'Otros puntos CCF'!O37</f>
        <v>6713000</v>
      </c>
      <c r="P76" s="366"/>
    </row>
    <row r="77" spans="1:17" hidden="1" x14ac:dyDescent="0.2">
      <c r="P77" s="366"/>
    </row>
    <row r="78" spans="1:17" hidden="1" x14ac:dyDescent="0.2">
      <c r="P78" s="366"/>
    </row>
    <row r="79" spans="1:17" x14ac:dyDescent="0.2">
      <c r="A79" s="193" t="s">
        <v>141</v>
      </c>
      <c r="B79" s="408"/>
      <c r="C79" s="408"/>
      <c r="D79" s="408"/>
      <c r="E79" s="408"/>
      <c r="F79" s="408"/>
      <c r="G79" s="408"/>
      <c r="H79" s="408"/>
      <c r="I79" s="408"/>
      <c r="J79" s="408"/>
      <c r="K79" s="408"/>
      <c r="L79" s="408"/>
      <c r="M79" s="408"/>
      <c r="N79" s="408"/>
      <c r="O79" s="428"/>
      <c r="P79" s="366"/>
    </row>
    <row r="80" spans="1:17" x14ac:dyDescent="0.2">
      <c r="A80" s="193" t="s">
        <v>531</v>
      </c>
      <c r="B80" s="247">
        <f>+'Otros puntos CCF'!B79</f>
        <v>75000</v>
      </c>
      <c r="C80" s="247">
        <f>+'Otros puntos CCF'!C79</f>
        <v>75000</v>
      </c>
      <c r="D80" s="247">
        <f>+'Otros puntos CCF'!D79</f>
        <v>75000</v>
      </c>
      <c r="E80" s="247">
        <f>+'Otros puntos CCF'!E79</f>
        <v>75000</v>
      </c>
      <c r="F80" s="247">
        <f>+'Otros puntos CCF'!F79</f>
        <v>75000</v>
      </c>
      <c r="G80" s="247">
        <f>+'Otros puntos CCF'!G79</f>
        <v>75000</v>
      </c>
      <c r="H80" s="247">
        <f>+'Otros puntos CCF'!H79</f>
        <v>75000</v>
      </c>
      <c r="I80" s="247">
        <f>+'Otros puntos CCF'!I79</f>
        <v>75000</v>
      </c>
      <c r="J80" s="247">
        <f>+'Otros puntos CCF'!J79</f>
        <v>75000</v>
      </c>
      <c r="K80" s="247">
        <f>+'Otros puntos CCF'!K79</f>
        <v>75000</v>
      </c>
      <c r="L80" s="247">
        <f>+'Otros puntos CCF'!L79</f>
        <v>75000</v>
      </c>
      <c r="M80" s="247">
        <f>+'Otros puntos CCF'!M79</f>
        <v>75000</v>
      </c>
      <c r="N80" s="408">
        <f>+'Otros puntos CCF'!N79</f>
        <v>60000</v>
      </c>
      <c r="O80" s="428"/>
      <c r="P80" s="366"/>
    </row>
    <row r="81" spans="1:16" x14ac:dyDescent="0.2">
      <c r="A81" s="193" t="s">
        <v>105</v>
      </c>
      <c r="B81" s="408"/>
      <c r="C81" s="408"/>
      <c r="D81" s="408"/>
      <c r="E81" s="408"/>
      <c r="F81" s="408"/>
      <c r="G81" s="408"/>
      <c r="H81" s="408"/>
      <c r="I81" s="408"/>
      <c r="J81" s="408"/>
      <c r="K81" s="408"/>
      <c r="L81" s="408"/>
      <c r="M81" s="408"/>
      <c r="N81" s="408"/>
      <c r="O81" s="409"/>
      <c r="P81" s="366"/>
    </row>
    <row r="82" spans="1:16" x14ac:dyDescent="0.2">
      <c r="A82" s="193" t="s">
        <v>457</v>
      </c>
      <c r="B82" s="247">
        <f>+'Otros puntos CCF'!B94</f>
        <v>389000</v>
      </c>
      <c r="C82" s="247">
        <f>+'Otros puntos CCF'!C94</f>
        <v>389000</v>
      </c>
      <c r="D82" s="247">
        <f>+'Otros puntos CCF'!D94</f>
        <v>389000</v>
      </c>
      <c r="E82" s="247">
        <f>+'Otros puntos CCF'!E94</f>
        <v>389000</v>
      </c>
      <c r="F82" s="247">
        <f>+'Otros puntos CCF'!F94</f>
        <v>389000</v>
      </c>
      <c r="G82" s="247">
        <f>+'Otros puntos CCF'!G94</f>
        <v>389000</v>
      </c>
      <c r="H82" s="247">
        <f>+'Otros puntos CCF'!H94</f>
        <v>389000</v>
      </c>
      <c r="I82" s="247">
        <f>+'Otros puntos CCF'!I94</f>
        <v>389000</v>
      </c>
      <c r="J82" s="247">
        <f>+'Otros puntos CCF'!J94</f>
        <v>389000</v>
      </c>
      <c r="K82" s="247">
        <f>+'Otros puntos CCF'!K94</f>
        <v>389000</v>
      </c>
      <c r="L82" s="247">
        <f>+'Otros puntos CCF'!L94</f>
        <v>389000</v>
      </c>
      <c r="M82" s="247">
        <f>+'Otros puntos CCF'!M94</f>
        <v>388000</v>
      </c>
      <c r="N82" s="408">
        <f>+'Otros puntos CCF'!N94</f>
        <v>376000</v>
      </c>
      <c r="O82" s="409">
        <f>+'Otros puntos CCF'!O94</f>
        <v>424769</v>
      </c>
      <c r="P82" s="366"/>
    </row>
    <row r="83" spans="1:16" x14ac:dyDescent="0.2">
      <c r="A83" s="193" t="s">
        <v>458</v>
      </c>
      <c r="B83" s="247"/>
      <c r="C83" s="247"/>
      <c r="D83" s="247"/>
      <c r="E83" s="247"/>
      <c r="F83" s="247"/>
      <c r="G83" s="247"/>
      <c r="H83" s="247"/>
      <c r="I83" s="247"/>
      <c r="J83" s="247"/>
      <c r="K83" s="247"/>
      <c r="L83" s="247"/>
      <c r="M83" s="247"/>
      <c r="N83" s="408"/>
      <c r="O83" s="409"/>
      <c r="P83" s="366"/>
    </row>
    <row r="84" spans="1:16" x14ac:dyDescent="0.2">
      <c r="A84" s="193" t="s">
        <v>249</v>
      </c>
      <c r="B84" s="247"/>
      <c r="C84" s="247"/>
      <c r="D84" s="247"/>
      <c r="E84" s="247"/>
      <c r="F84" s="247"/>
      <c r="G84" s="247"/>
      <c r="H84" s="247"/>
      <c r="I84" s="247"/>
      <c r="J84" s="247"/>
      <c r="K84" s="247"/>
      <c r="L84" s="247"/>
      <c r="M84" s="247"/>
      <c r="N84" s="408"/>
      <c r="O84" s="409"/>
      <c r="P84" s="366"/>
    </row>
    <row r="85" spans="1:16" x14ac:dyDescent="0.2">
      <c r="A85" s="193" t="s">
        <v>250</v>
      </c>
      <c r="B85" s="247"/>
      <c r="C85" s="247"/>
      <c r="D85" s="247"/>
      <c r="E85" s="247"/>
      <c r="F85" s="247"/>
      <c r="G85" s="247"/>
      <c r="H85" s="247"/>
      <c r="I85" s="247"/>
      <c r="J85" s="247"/>
      <c r="K85" s="247"/>
      <c r="L85" s="247"/>
      <c r="M85" s="247"/>
      <c r="N85" s="408"/>
      <c r="O85" s="409"/>
      <c r="P85" s="366"/>
    </row>
    <row r="86" spans="1:16" x14ac:dyDescent="0.2">
      <c r="A86" s="193" t="s">
        <v>459</v>
      </c>
      <c r="B86" s="246"/>
      <c r="C86" s="246"/>
      <c r="D86" s="246"/>
      <c r="E86" s="246"/>
      <c r="F86" s="246"/>
      <c r="G86" s="246"/>
      <c r="H86" s="246"/>
      <c r="I86" s="246"/>
      <c r="J86" s="246"/>
      <c r="K86" s="246"/>
      <c r="L86" s="246"/>
      <c r="M86" s="246"/>
      <c r="N86" s="246"/>
      <c r="O86" s="246"/>
      <c r="P86" s="366"/>
    </row>
    <row r="87" spans="1:16" ht="14.25" customHeight="1" x14ac:dyDescent="0.2">
      <c r="A87" s="411" t="s">
        <v>167</v>
      </c>
      <c r="B87" s="246"/>
      <c r="C87" s="246"/>
      <c r="D87" s="246"/>
      <c r="E87" s="246"/>
      <c r="F87" s="246"/>
      <c r="G87" s="246"/>
      <c r="H87" s="246"/>
      <c r="I87" s="246"/>
      <c r="J87" s="246"/>
      <c r="K87" s="246"/>
      <c r="L87" s="246"/>
      <c r="M87" s="246"/>
      <c r="N87" s="246"/>
      <c r="O87" s="246"/>
      <c r="P87" s="366"/>
    </row>
    <row r="88" spans="1:16" ht="36" x14ac:dyDescent="0.2">
      <c r="A88" s="411" t="s">
        <v>461</v>
      </c>
      <c r="B88" s="414"/>
      <c r="C88" s="414"/>
      <c r="D88" s="414"/>
      <c r="E88" s="414"/>
      <c r="F88" s="414"/>
      <c r="G88" s="414"/>
      <c r="H88" s="414"/>
      <c r="I88" s="414"/>
      <c r="J88" s="414"/>
      <c r="K88" s="414"/>
      <c r="L88" s="414"/>
      <c r="M88" s="414"/>
      <c r="N88" s="429"/>
      <c r="O88" s="409"/>
      <c r="P88" s="366"/>
    </row>
    <row r="89" spans="1:16" x14ac:dyDescent="0.2">
      <c r="A89" s="193" t="s">
        <v>282</v>
      </c>
      <c r="B89" s="220"/>
      <c r="C89" s="220"/>
      <c r="D89" s="220"/>
      <c r="E89" s="220"/>
      <c r="F89" s="220"/>
      <c r="G89" s="220"/>
      <c r="H89" s="220"/>
      <c r="I89" s="220"/>
      <c r="J89" s="220"/>
      <c r="K89" s="220"/>
      <c r="L89" s="220"/>
      <c r="M89" s="220"/>
      <c r="N89" s="408">
        <f>+'Otros puntos CCF'!O55</f>
        <v>88000</v>
      </c>
      <c r="O89" s="409">
        <f>+'Otros puntos CCF'!O54</f>
        <v>144000</v>
      </c>
      <c r="P89" s="366"/>
    </row>
    <row r="90" spans="1:16" x14ac:dyDescent="0.2">
      <c r="A90" s="193" t="s">
        <v>283</v>
      </c>
      <c r="B90" s="247">
        <f>+'Otros puntos CCF'!B38</f>
        <v>67000</v>
      </c>
      <c r="C90" s="247">
        <f>+'Otros puntos CCF'!C38</f>
        <v>67000</v>
      </c>
      <c r="D90" s="247">
        <f>+'Otros puntos CCF'!D38</f>
        <v>67000</v>
      </c>
      <c r="E90" s="247">
        <f>+'Otros puntos CCF'!E38</f>
        <v>67000</v>
      </c>
      <c r="F90" s="247">
        <f>+'Otros puntos CCF'!F38</f>
        <v>67000</v>
      </c>
      <c r="G90" s="247">
        <f>+'Otros puntos CCF'!G38</f>
        <v>67000</v>
      </c>
      <c r="H90" s="247">
        <f>+'Otros puntos CCF'!H38</f>
        <v>67000</v>
      </c>
      <c r="I90" s="247">
        <f>+'Otros puntos CCF'!I38</f>
        <v>67000</v>
      </c>
      <c r="J90" s="247">
        <f>+'Otros puntos CCF'!J38</f>
        <v>67000</v>
      </c>
      <c r="K90" s="247">
        <f>+'Otros puntos CCF'!K38</f>
        <v>67000</v>
      </c>
      <c r="L90" s="247">
        <f>+'Otros puntos CCF'!L38</f>
        <v>55000</v>
      </c>
      <c r="M90" s="247">
        <f>+'Otros puntos CCF'!M38</f>
        <v>140000</v>
      </c>
      <c r="N90" s="408">
        <f>+'Otros puntos CCF'!O39</f>
        <v>76000</v>
      </c>
      <c r="O90" s="409">
        <f>+'Otros puntos CCF'!P39</f>
        <v>13000</v>
      </c>
      <c r="P90" s="366"/>
    </row>
    <row r="91" spans="1:16" x14ac:dyDescent="0.2">
      <c r="A91" s="411" t="s">
        <v>285</v>
      </c>
      <c r="B91" s="430"/>
      <c r="C91" s="430"/>
      <c r="D91" s="430"/>
      <c r="E91" s="430"/>
      <c r="F91" s="430"/>
      <c r="G91" s="430"/>
      <c r="H91" s="430"/>
      <c r="I91" s="430"/>
      <c r="J91" s="430"/>
      <c r="K91" s="430"/>
      <c r="L91" s="430"/>
      <c r="M91" s="430"/>
      <c r="N91" s="430"/>
      <c r="O91" s="409">
        <v>3118</v>
      </c>
      <c r="P91" s="366"/>
    </row>
    <row r="92" spans="1:16" x14ac:dyDescent="0.2">
      <c r="A92" s="193" t="s">
        <v>12</v>
      </c>
      <c r="B92" s="247">
        <f>+'Otros puntos CCF'!B17</f>
        <v>33808.937906413361</v>
      </c>
      <c r="C92" s="247">
        <f>+'Otros puntos CCF'!C17</f>
        <v>33808.937906413361</v>
      </c>
      <c r="D92" s="247">
        <f>+'Otros puntos CCF'!D17</f>
        <v>33808.937906413361</v>
      </c>
      <c r="E92" s="247">
        <f>+'Otros puntos CCF'!E17</f>
        <v>33808.937906413361</v>
      </c>
      <c r="F92" s="247">
        <f>+'Otros puntos CCF'!F17</f>
        <v>33808.937906413361</v>
      </c>
      <c r="G92" s="247">
        <f>+'Otros puntos CCF'!G17</f>
        <v>33808.937906413361</v>
      </c>
      <c r="H92" s="247">
        <f>+'Otros puntos CCF'!H17</f>
        <v>33808.937906413361</v>
      </c>
      <c r="I92" s="247">
        <f>+'Otros puntos CCF'!I17</f>
        <v>33808.937906413361</v>
      </c>
      <c r="J92" s="247">
        <f>+'Otros puntos CCF'!J17</f>
        <v>33808.937906413361</v>
      </c>
      <c r="K92" s="247">
        <f>+'Otros puntos CCF'!K17</f>
        <v>33808.937906413361</v>
      </c>
      <c r="L92" s="247">
        <f>+'Otros puntos CCF'!L17</f>
        <v>33808.937906413361</v>
      </c>
      <c r="M92" s="247">
        <f>+'Otros puntos CCF'!M17</f>
        <v>32953.015427769984</v>
      </c>
      <c r="N92" s="408">
        <f>+'Otros puntos CCF'!N17</f>
        <v>24821.75188065791</v>
      </c>
      <c r="O92" s="431"/>
      <c r="P92" s="366"/>
    </row>
    <row r="93" spans="1:16" x14ac:dyDescent="0.2">
      <c r="A93" s="193" t="s">
        <v>451</v>
      </c>
      <c r="B93" s="247">
        <f>+'RF y dividendos'!B12</f>
        <v>71435.490392467851</v>
      </c>
      <c r="C93" s="247">
        <f>+'RF y dividendos'!C12</f>
        <v>71927.274889495879</v>
      </c>
      <c r="D93" s="247">
        <f>+'RF y dividendos'!D12</f>
        <v>74488.664312541121</v>
      </c>
      <c r="E93" s="247">
        <f>+'RF y dividendos'!E12</f>
        <v>76121.192920354006</v>
      </c>
      <c r="F93" s="247">
        <f>+'RF y dividendos'!F12</f>
        <v>77791.989380531013</v>
      </c>
      <c r="G93" s="247">
        <f>+'RF y dividendos'!G12</f>
        <v>75973.789380530987</v>
      </c>
      <c r="H93" s="247">
        <f>+'RF y dividendos'!H12</f>
        <v>114183.23695567565</v>
      </c>
      <c r="I93" s="247">
        <f>+'RF y dividendos'!I12</f>
        <v>69184.389380530978</v>
      </c>
      <c r="J93" s="247">
        <f>+'RF y dividendos'!J12</f>
        <v>69184.389380530891</v>
      </c>
      <c r="K93" s="247">
        <f>+'RF y dividendos'!K12</f>
        <v>128599.03695567552</v>
      </c>
      <c r="L93" s="247">
        <f>+'RF y dividendos'!L12</f>
        <v>76689.157716085334</v>
      </c>
      <c r="M93" s="247">
        <f>+'RF y dividendos'!M12</f>
        <v>100556.28852874838</v>
      </c>
      <c r="N93" s="247">
        <f>+'RF y dividendos'!N12</f>
        <v>0</v>
      </c>
      <c r="O93" s="247">
        <f>+'RF y dividendos'!O12</f>
        <v>0</v>
      </c>
      <c r="P93" s="366"/>
    </row>
    <row r="94" spans="1:16" x14ac:dyDescent="0.2">
      <c r="A94" s="193" t="s">
        <v>13</v>
      </c>
      <c r="B94" s="220"/>
      <c r="C94" s="220"/>
      <c r="D94" s="220"/>
      <c r="E94" s="220"/>
      <c r="F94" s="220"/>
      <c r="G94" s="220"/>
      <c r="H94" s="220"/>
      <c r="I94" s="220"/>
      <c r="J94" s="220"/>
      <c r="K94" s="220"/>
      <c r="L94" s="220"/>
      <c r="M94" s="220"/>
      <c r="N94" s="432"/>
      <c r="O94" s="409">
        <f>+'Otros puntos CCF'!O27</f>
        <v>55000</v>
      </c>
      <c r="P94" s="366"/>
    </row>
    <row r="95" spans="1:16" ht="12.75" thickBot="1" x14ac:dyDescent="0.25">
      <c r="A95" s="193" t="s">
        <v>456</v>
      </c>
      <c r="B95" s="427"/>
      <c r="C95" s="427"/>
      <c r="D95" s="427"/>
      <c r="E95" s="427"/>
      <c r="F95" s="427"/>
      <c r="G95" s="427"/>
      <c r="H95" s="427"/>
      <c r="I95" s="427"/>
      <c r="J95" s="427"/>
      <c r="K95" s="427"/>
      <c r="L95" s="427"/>
      <c r="M95" s="427"/>
      <c r="N95" s="427"/>
      <c r="O95" s="409">
        <v>80000</v>
      </c>
      <c r="P95" s="366"/>
    </row>
    <row r="96" spans="1:16" ht="12.75" thickBot="1" x14ac:dyDescent="0.25">
      <c r="A96" s="433" t="s">
        <v>442</v>
      </c>
      <c r="B96" s="423">
        <f t="shared" ref="B96:G96" si="58">SUM(B75:B95)</f>
        <v>663336.62109160039</v>
      </c>
      <c r="C96" s="423">
        <f t="shared" si="58"/>
        <v>650177.30887123069</v>
      </c>
      <c r="D96" s="423">
        <f t="shared" si="58"/>
        <v>647820.85332399583</v>
      </c>
      <c r="E96" s="423">
        <f t="shared" si="58"/>
        <v>657255.41690489626</v>
      </c>
      <c r="F96" s="423">
        <f t="shared" si="58"/>
        <v>642600.92728694435</v>
      </c>
      <c r="G96" s="423">
        <f t="shared" si="58"/>
        <v>640782.72728694428</v>
      </c>
      <c r="H96" s="423">
        <f t="shared" ref="H96:I96" si="59">SUM(H75:H95)</f>
        <v>678992.17486208898</v>
      </c>
      <c r="I96" s="423">
        <f t="shared" si="59"/>
        <v>633993.32728694426</v>
      </c>
      <c r="J96" s="423">
        <f t="shared" ref="J96:O96" si="60">SUM(J75:J95)</f>
        <v>633993.32728694426</v>
      </c>
      <c r="K96" s="423">
        <f t="shared" si="60"/>
        <v>693407.97486208891</v>
      </c>
      <c r="L96" s="423">
        <f t="shared" si="60"/>
        <v>629498.09562249866</v>
      </c>
      <c r="M96" s="423">
        <f t="shared" si="60"/>
        <v>736509.30395651842</v>
      </c>
      <c r="N96" s="423">
        <f t="shared" si="60"/>
        <v>624821.75188065786</v>
      </c>
      <c r="O96" s="424">
        <f t="shared" si="60"/>
        <v>7432887</v>
      </c>
      <c r="P96" s="366"/>
    </row>
    <row r="97" spans="1:16" x14ac:dyDescent="0.2">
      <c r="A97" s="364"/>
      <c r="B97" s="364"/>
      <c r="C97" s="364"/>
      <c r="D97" s="364"/>
      <c r="E97" s="364"/>
      <c r="F97" s="364"/>
      <c r="G97" s="364"/>
      <c r="H97" s="364"/>
      <c r="I97" s="364"/>
      <c r="J97" s="364"/>
      <c r="K97" s="364"/>
      <c r="L97" s="364"/>
      <c r="M97" s="364"/>
      <c r="N97" s="404"/>
      <c r="O97" s="404"/>
      <c r="P97" s="366"/>
    </row>
    <row r="98" spans="1:16" x14ac:dyDescent="0.2">
      <c r="A98" s="364" t="s">
        <v>492</v>
      </c>
      <c r="B98" s="364"/>
      <c r="C98" s="364"/>
      <c r="D98" s="364"/>
      <c r="E98" s="364"/>
      <c r="F98" s="364"/>
      <c r="G98" s="364"/>
      <c r="H98" s="364"/>
      <c r="I98" s="364"/>
      <c r="J98" s="364"/>
      <c r="K98" s="364"/>
      <c r="L98" s="367"/>
      <c r="M98" s="367"/>
      <c r="N98" s="404"/>
      <c r="O98" s="404"/>
      <c r="P98" s="366"/>
    </row>
    <row r="99" spans="1:16" x14ac:dyDescent="0.2">
      <c r="A99" s="434" t="s">
        <v>432</v>
      </c>
      <c r="B99" s="435">
        <f t="shared" ref="B99:G99" si="61">+B74</f>
        <v>2017</v>
      </c>
      <c r="C99" s="435">
        <f t="shared" si="61"/>
        <v>2016</v>
      </c>
      <c r="D99" s="435">
        <f t="shared" si="61"/>
        <v>2015</v>
      </c>
      <c r="E99" s="435">
        <f t="shared" si="61"/>
        <v>2014</v>
      </c>
      <c r="F99" s="435">
        <f t="shared" si="61"/>
        <v>2013</v>
      </c>
      <c r="G99" s="435">
        <f t="shared" si="61"/>
        <v>2012</v>
      </c>
      <c r="H99" s="435">
        <f>+H74</f>
        <v>2011</v>
      </c>
      <c r="I99" s="435">
        <f>+I74</f>
        <v>2010</v>
      </c>
      <c r="J99" s="435">
        <f t="shared" ref="J99:O99" si="62">+J74</f>
        <v>2009</v>
      </c>
      <c r="K99" s="435">
        <f t="shared" si="62"/>
        <v>2008</v>
      </c>
      <c r="L99" s="435">
        <f t="shared" si="62"/>
        <v>2007</v>
      </c>
      <c r="M99" s="435">
        <f t="shared" si="62"/>
        <v>2006</v>
      </c>
      <c r="N99" s="435">
        <f t="shared" si="62"/>
        <v>2005</v>
      </c>
      <c r="O99" s="435">
        <f t="shared" si="62"/>
        <v>2004</v>
      </c>
      <c r="P99" s="366"/>
    </row>
    <row r="100" spans="1:16" ht="24" x14ac:dyDescent="0.2">
      <c r="A100" s="415" t="s">
        <v>170</v>
      </c>
      <c r="B100" s="415"/>
      <c r="C100" s="415"/>
      <c r="D100" s="415"/>
      <c r="E100" s="415"/>
      <c r="F100" s="415"/>
      <c r="G100" s="415"/>
      <c r="H100" s="415"/>
      <c r="I100" s="415"/>
      <c r="J100" s="415"/>
      <c r="K100" s="415"/>
      <c r="L100" s="246"/>
      <c r="M100" s="246"/>
      <c r="N100" s="436"/>
      <c r="O100" s="437"/>
      <c r="P100" s="366"/>
    </row>
    <row r="101" spans="1:16" ht="17.25" customHeight="1" x14ac:dyDescent="0.2">
      <c r="A101" s="411" t="s">
        <v>462</v>
      </c>
      <c r="B101" s="414">
        <f t="shared" ref="B101" si="63">+C31</f>
        <v>1000</v>
      </c>
      <c r="C101" s="414">
        <f t="shared" ref="C101" si="64">+D31</f>
        <v>1000</v>
      </c>
      <c r="D101" s="414">
        <f t="shared" ref="D101" si="65">+E31</f>
        <v>1000</v>
      </c>
      <c r="E101" s="414">
        <f t="shared" ref="E101" si="66">+F31</f>
        <v>1000</v>
      </c>
      <c r="F101" s="414">
        <f t="shared" ref="F101" si="67">+G31</f>
        <v>1000</v>
      </c>
      <c r="G101" s="414">
        <f t="shared" ref="G101" si="68">+H31</f>
        <v>1000</v>
      </c>
      <c r="H101" s="414">
        <f t="shared" ref="H101:M101" si="69">+I31</f>
        <v>1000</v>
      </c>
      <c r="I101" s="414">
        <f t="shared" si="69"/>
        <v>1000</v>
      </c>
      <c r="J101" s="414">
        <f t="shared" si="69"/>
        <v>1000</v>
      </c>
      <c r="K101" s="414">
        <f t="shared" si="69"/>
        <v>39500</v>
      </c>
      <c r="L101" s="414">
        <f t="shared" si="69"/>
        <v>38500</v>
      </c>
      <c r="M101" s="414">
        <f t="shared" si="69"/>
        <v>29000</v>
      </c>
      <c r="N101" s="410">
        <f>+'Otros puntos CCF'!O9</f>
        <v>230000</v>
      </c>
      <c r="O101" s="410">
        <f>+'Otros puntos CCF'!P9</f>
        <v>200000</v>
      </c>
      <c r="P101" s="366"/>
    </row>
    <row r="102" spans="1:16" x14ac:dyDescent="0.2">
      <c r="A102" s="274" t="s">
        <v>467</v>
      </c>
      <c r="B102" s="274"/>
      <c r="C102" s="274"/>
      <c r="D102" s="274"/>
      <c r="E102" s="274"/>
      <c r="F102" s="274"/>
      <c r="G102" s="274"/>
      <c r="H102" s="274"/>
      <c r="I102" s="274"/>
      <c r="J102" s="274"/>
      <c r="K102" s="274"/>
      <c r="L102" s="414"/>
      <c r="M102" s="414"/>
      <c r="N102" s="410"/>
      <c r="O102" s="410"/>
      <c r="P102" s="366"/>
    </row>
    <row r="103" spans="1:16" x14ac:dyDescent="0.2">
      <c r="A103" s="405" t="s">
        <v>464</v>
      </c>
      <c r="B103" s="405"/>
      <c r="C103" s="405"/>
      <c r="D103" s="405"/>
      <c r="E103" s="405"/>
      <c r="F103" s="405"/>
      <c r="G103" s="405"/>
      <c r="H103" s="405"/>
      <c r="I103" s="405"/>
      <c r="J103" s="405"/>
      <c r="K103" s="405"/>
      <c r="L103" s="414"/>
      <c r="M103" s="414"/>
      <c r="N103" s="410"/>
      <c r="O103" s="410"/>
      <c r="P103" s="366"/>
    </row>
    <row r="104" spans="1:16" x14ac:dyDescent="0.2">
      <c r="A104" s="405" t="s">
        <v>463</v>
      </c>
      <c r="B104" s="405"/>
      <c r="C104" s="405"/>
      <c r="D104" s="405"/>
      <c r="E104" s="405"/>
      <c r="F104" s="405"/>
      <c r="G104" s="405"/>
      <c r="H104" s="405"/>
      <c r="I104" s="405"/>
      <c r="J104" s="405"/>
      <c r="K104" s="405"/>
      <c r="L104" s="246"/>
      <c r="M104" s="246"/>
      <c r="N104" s="436"/>
      <c r="O104" s="437"/>
      <c r="P104" s="366"/>
    </row>
    <row r="105" spans="1:16" x14ac:dyDescent="0.2">
      <c r="A105" s="405" t="s">
        <v>89</v>
      </c>
      <c r="B105" s="405"/>
      <c r="C105" s="405"/>
      <c r="D105" s="405"/>
      <c r="E105" s="405"/>
      <c r="F105" s="405"/>
      <c r="G105" s="405"/>
      <c r="H105" s="405"/>
      <c r="I105" s="405"/>
      <c r="J105" s="405"/>
      <c r="K105" s="405"/>
      <c r="L105" s="246"/>
      <c r="M105" s="246"/>
      <c r="N105" s="436"/>
      <c r="O105" s="437"/>
      <c r="P105" s="366"/>
    </row>
    <row r="106" spans="1:16" ht="12.75" thickBot="1" x14ac:dyDescent="0.25">
      <c r="A106" s="438"/>
      <c r="B106" s="438"/>
      <c r="C106" s="438"/>
      <c r="D106" s="438"/>
      <c r="E106" s="438"/>
      <c r="F106" s="438"/>
      <c r="G106" s="438"/>
      <c r="H106" s="438"/>
      <c r="I106" s="438"/>
      <c r="J106" s="438"/>
      <c r="K106" s="438"/>
      <c r="L106" s="250"/>
      <c r="M106" s="250"/>
      <c r="N106" s="439"/>
      <c r="O106" s="440"/>
      <c r="P106" s="366"/>
    </row>
    <row r="107" spans="1:16" ht="12.75" thickBot="1" x14ac:dyDescent="0.25">
      <c r="A107" s="422" t="s">
        <v>442</v>
      </c>
      <c r="B107" s="441">
        <f t="shared" ref="B107:G107" si="70">SUM(B100:B106)</f>
        <v>1000</v>
      </c>
      <c r="C107" s="441">
        <f t="shared" si="70"/>
        <v>1000</v>
      </c>
      <c r="D107" s="441">
        <f t="shared" si="70"/>
        <v>1000</v>
      </c>
      <c r="E107" s="441">
        <f t="shared" si="70"/>
        <v>1000</v>
      </c>
      <c r="F107" s="441">
        <f t="shared" si="70"/>
        <v>1000</v>
      </c>
      <c r="G107" s="441">
        <f t="shared" si="70"/>
        <v>1000</v>
      </c>
      <c r="H107" s="441">
        <f t="shared" ref="H107:I107" si="71">SUM(H100:H106)</f>
        <v>1000</v>
      </c>
      <c r="I107" s="441">
        <f t="shared" si="71"/>
        <v>1000</v>
      </c>
      <c r="J107" s="441">
        <f t="shared" ref="J107:O107" si="72">SUM(J100:J106)</f>
        <v>1000</v>
      </c>
      <c r="K107" s="441">
        <f t="shared" si="72"/>
        <v>39500</v>
      </c>
      <c r="L107" s="441">
        <f t="shared" si="72"/>
        <v>38500</v>
      </c>
      <c r="M107" s="441">
        <f t="shared" si="72"/>
        <v>29000</v>
      </c>
      <c r="N107" s="441">
        <f t="shared" si="72"/>
        <v>230000</v>
      </c>
      <c r="O107" s="442">
        <f t="shared" si="72"/>
        <v>200000</v>
      </c>
      <c r="P107" s="366"/>
    </row>
  </sheetData>
  <phoneticPr fontId="0" type="noConversion"/>
  <pageMargins left="0.59055118110236227" right="0.59055118110236227" top="0.59055118110236227" bottom="0.59055118110236227" header="0" footer="0"/>
  <pageSetup orientation="portrait" r:id="rId1"/>
  <headerFooter alignWithMargins="0">
    <oddHeader>&amp;R&amp;F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opLeftCell="A88" zoomScale="133" workbookViewId="0">
      <selection activeCell="B95" sqref="B95"/>
    </sheetView>
  </sheetViews>
  <sheetFormatPr baseColWidth="10" defaultColWidth="11.5703125" defaultRowHeight="12" x14ac:dyDescent="0.2"/>
  <cols>
    <col min="1" max="1" width="33.140625" style="144" customWidth="1"/>
    <col min="2" max="7" width="13.140625" style="144" customWidth="1"/>
    <col min="8" max="8" width="13.7109375" style="144" customWidth="1"/>
    <col min="9" max="9" width="11.28515625" style="144" customWidth="1"/>
    <col min="10" max="11" width="14" style="144" customWidth="1"/>
    <col min="12" max="12" width="12.85546875" style="144" customWidth="1"/>
    <col min="13" max="13" width="12.28515625" style="144" customWidth="1"/>
    <col min="14" max="14" width="11.85546875" style="144" customWidth="1"/>
    <col min="15" max="16" width="11" style="144" bestFit="1" customWidth="1"/>
    <col min="17" max="16384" width="11.5703125" style="144"/>
  </cols>
  <sheetData>
    <row r="1" spans="1:16" ht="15" x14ac:dyDescent="0.25">
      <c r="A1" s="477" t="str">
        <f>+ER!A1</f>
        <v>Empresa Comercial, SA de CV</v>
      </c>
      <c r="J1" s="323"/>
      <c r="K1" s="323"/>
      <c r="L1" s="323"/>
    </row>
    <row r="2" spans="1:16" x14ac:dyDescent="0.2">
      <c r="A2" s="323" t="s">
        <v>501</v>
      </c>
      <c r="B2" s="323"/>
      <c r="C2" s="323"/>
      <c r="D2" s="323"/>
      <c r="E2" s="323"/>
      <c r="F2" s="323"/>
      <c r="G2" s="323"/>
      <c r="H2" s="323"/>
      <c r="I2" s="323"/>
      <c r="J2" s="323"/>
      <c r="K2" s="323"/>
      <c r="L2" s="323"/>
    </row>
    <row r="3" spans="1:16" x14ac:dyDescent="0.2">
      <c r="A3" s="323" t="s">
        <v>502</v>
      </c>
      <c r="B3" s="323"/>
      <c r="C3" s="323"/>
      <c r="D3" s="323"/>
      <c r="E3" s="323"/>
      <c r="F3" s="323"/>
      <c r="G3" s="323"/>
      <c r="H3" s="323"/>
      <c r="I3" s="323"/>
      <c r="J3" s="323"/>
      <c r="K3" s="323"/>
      <c r="L3" s="323"/>
    </row>
    <row r="4" spans="1:16" x14ac:dyDescent="0.2">
      <c r="A4" s="144" t="s">
        <v>503</v>
      </c>
    </row>
    <row r="5" spans="1:16" x14ac:dyDescent="0.2">
      <c r="A5" s="144" t="s">
        <v>504</v>
      </c>
    </row>
    <row r="6" spans="1:16" s="240" customFormat="1" x14ac:dyDescent="0.2"/>
    <row r="7" spans="1:16" ht="12.75" thickBot="1" x14ac:dyDescent="0.25">
      <c r="A7" s="443" t="s">
        <v>359</v>
      </c>
      <c r="B7" s="444">
        <v>43070</v>
      </c>
      <c r="C7" s="444">
        <v>42705</v>
      </c>
      <c r="D7" s="444">
        <v>42339</v>
      </c>
      <c r="E7" s="444">
        <v>41974</v>
      </c>
      <c r="F7" s="444">
        <v>41609</v>
      </c>
      <c r="G7" s="444">
        <v>41244</v>
      </c>
      <c r="H7" s="444">
        <v>40878</v>
      </c>
      <c r="I7" s="444">
        <v>40513</v>
      </c>
      <c r="J7" s="444">
        <v>40148</v>
      </c>
      <c r="K7" s="444">
        <v>39783</v>
      </c>
      <c r="L7" s="444">
        <v>39417</v>
      </c>
      <c r="M7" s="444">
        <v>39052</v>
      </c>
      <c r="N7" s="444">
        <v>38687</v>
      </c>
      <c r="O7" s="444">
        <v>38322</v>
      </c>
      <c r="P7" s="444">
        <v>37956</v>
      </c>
    </row>
    <row r="8" spans="1:16" x14ac:dyDescent="0.2">
      <c r="A8" s="445" t="s">
        <v>62</v>
      </c>
      <c r="B8" s="245">
        <v>39500</v>
      </c>
      <c r="C8" s="245">
        <v>39500</v>
      </c>
      <c r="D8" s="245">
        <v>39500</v>
      </c>
      <c r="E8" s="245">
        <v>39500</v>
      </c>
      <c r="F8" s="245">
        <v>39500</v>
      </c>
      <c r="G8" s="245">
        <v>39500</v>
      </c>
      <c r="H8" s="245">
        <v>39500</v>
      </c>
      <c r="I8" s="245">
        <v>39500</v>
      </c>
      <c r="J8" s="245">
        <v>39500</v>
      </c>
      <c r="K8" s="245">
        <v>39500</v>
      </c>
      <c r="L8" s="245">
        <v>39500</v>
      </c>
      <c r="M8" s="245">
        <v>38500</v>
      </c>
      <c r="N8" s="245">
        <v>29000</v>
      </c>
      <c r="O8" s="245">
        <v>23000</v>
      </c>
      <c r="P8" s="245">
        <v>20000</v>
      </c>
    </row>
    <row r="9" spans="1:16" x14ac:dyDescent="0.2">
      <c r="A9" s="446" t="s">
        <v>63</v>
      </c>
      <c r="B9" s="246">
        <f t="shared" ref="B9:G9" si="0">+B8</f>
        <v>39500</v>
      </c>
      <c r="C9" s="246">
        <f t="shared" si="0"/>
        <v>39500</v>
      </c>
      <c r="D9" s="246">
        <f t="shared" si="0"/>
        <v>39500</v>
      </c>
      <c r="E9" s="246">
        <f t="shared" si="0"/>
        <v>39500</v>
      </c>
      <c r="F9" s="246">
        <f t="shared" si="0"/>
        <v>39500</v>
      </c>
      <c r="G9" s="246">
        <f t="shared" si="0"/>
        <v>39500</v>
      </c>
      <c r="H9" s="246">
        <f t="shared" ref="H9:K9" si="1">+H8</f>
        <v>39500</v>
      </c>
      <c r="I9" s="246">
        <f t="shared" si="1"/>
        <v>39500</v>
      </c>
      <c r="J9" s="246">
        <f t="shared" si="1"/>
        <v>39500</v>
      </c>
      <c r="K9" s="246">
        <f t="shared" si="1"/>
        <v>39500</v>
      </c>
      <c r="L9" s="246">
        <f>+L8</f>
        <v>39500</v>
      </c>
      <c r="M9" s="246">
        <f>+M8</f>
        <v>38500</v>
      </c>
      <c r="N9" s="246">
        <f>+N8</f>
        <v>29000</v>
      </c>
      <c r="O9" s="249">
        <f>+O8/0.1</f>
        <v>230000</v>
      </c>
      <c r="P9" s="249">
        <f>+P8/0.1</f>
        <v>200000</v>
      </c>
    </row>
    <row r="10" spans="1:16" x14ac:dyDescent="0.2">
      <c r="A10" s="447"/>
      <c r="B10" s="447"/>
      <c r="C10" s="447"/>
      <c r="D10" s="447"/>
      <c r="E10" s="447"/>
      <c r="F10" s="447"/>
      <c r="G10" s="447"/>
      <c r="H10" s="447"/>
      <c r="I10" s="447"/>
      <c r="J10" s="447"/>
      <c r="K10" s="447"/>
      <c r="L10" s="448"/>
      <c r="M10" s="448"/>
      <c r="N10" s="448"/>
      <c r="O10" s="449" t="s">
        <v>483</v>
      </c>
      <c r="P10" s="450" t="s">
        <v>482</v>
      </c>
    </row>
    <row r="11" spans="1:16" x14ac:dyDescent="0.2">
      <c r="A11" s="451" t="s">
        <v>70</v>
      </c>
      <c r="B11" s="451"/>
      <c r="C11" s="451"/>
      <c r="D11" s="451"/>
      <c r="E11" s="451"/>
      <c r="F11" s="451"/>
      <c r="G11" s="451"/>
      <c r="H11" s="451"/>
      <c r="I11" s="451"/>
      <c r="J11" s="451"/>
      <c r="K11" s="451"/>
      <c r="L11" s="252"/>
      <c r="M11" s="252"/>
      <c r="N11" s="252"/>
      <c r="O11" s="251"/>
      <c r="P11" s="190"/>
    </row>
    <row r="12" spans="1:16" ht="12.75" thickBot="1" x14ac:dyDescent="0.25">
      <c r="A12" s="443" t="s">
        <v>359</v>
      </c>
      <c r="B12" s="452">
        <f t="shared" ref="B12:G12" si="2">+B7</f>
        <v>43070</v>
      </c>
      <c r="C12" s="452">
        <f t="shared" si="2"/>
        <v>42705</v>
      </c>
      <c r="D12" s="452">
        <f t="shared" si="2"/>
        <v>42339</v>
      </c>
      <c r="E12" s="452">
        <f t="shared" si="2"/>
        <v>41974</v>
      </c>
      <c r="F12" s="452">
        <f t="shared" si="2"/>
        <v>41609</v>
      </c>
      <c r="G12" s="452">
        <f t="shared" si="2"/>
        <v>41244</v>
      </c>
      <c r="H12" s="452">
        <f t="shared" ref="H12:O12" si="3">+H7</f>
        <v>40878</v>
      </c>
      <c r="I12" s="452">
        <f t="shared" si="3"/>
        <v>40513</v>
      </c>
      <c r="J12" s="452">
        <f t="shared" si="3"/>
        <v>40148</v>
      </c>
      <c r="K12" s="452">
        <f t="shared" si="3"/>
        <v>39783</v>
      </c>
      <c r="L12" s="452">
        <f t="shared" si="3"/>
        <v>39417</v>
      </c>
      <c r="M12" s="452">
        <f t="shared" si="3"/>
        <v>39052</v>
      </c>
      <c r="N12" s="452">
        <f t="shared" si="3"/>
        <v>38687</v>
      </c>
      <c r="O12" s="452">
        <f t="shared" si="3"/>
        <v>38322</v>
      </c>
      <c r="P12" s="452">
        <f>+P7</f>
        <v>37956</v>
      </c>
    </row>
    <row r="13" spans="1:16" x14ac:dyDescent="0.2">
      <c r="A13" s="445" t="s">
        <v>64</v>
      </c>
      <c r="B13" s="245">
        <f>+ER!B11</f>
        <v>7843000</v>
      </c>
      <c r="C13" s="245">
        <f>+ER!C11</f>
        <v>7843000</v>
      </c>
      <c r="D13" s="245">
        <f>+ER!D11</f>
        <v>7843000</v>
      </c>
      <c r="E13" s="245">
        <f>+ER!E11</f>
        <v>7843000</v>
      </c>
      <c r="F13" s="245">
        <f>+ER!F11</f>
        <v>7843000</v>
      </c>
      <c r="G13" s="245">
        <f>+ER!G11</f>
        <v>7843000</v>
      </c>
      <c r="H13" s="245">
        <f>+ER!H11</f>
        <v>7843000</v>
      </c>
      <c r="I13" s="245">
        <f>+ER!I11</f>
        <v>7843000</v>
      </c>
      <c r="J13" s="245">
        <f>+ER!J11</f>
        <v>7843000</v>
      </c>
      <c r="K13" s="245">
        <f>+ER!K11</f>
        <v>7843000</v>
      </c>
      <c r="L13" s="245">
        <f>+ER!L11</f>
        <v>7843000</v>
      </c>
      <c r="M13" s="245">
        <f>+ER!M11</f>
        <v>7843000</v>
      </c>
      <c r="N13" s="245">
        <f>+ER!N11</f>
        <v>7843000</v>
      </c>
      <c r="O13" s="245">
        <f>+ER!O11</f>
        <v>7843000</v>
      </c>
      <c r="P13" s="245">
        <f>+ER!P11</f>
        <v>0</v>
      </c>
    </row>
    <row r="14" spans="1:16" x14ac:dyDescent="0.2">
      <c r="A14" s="446" t="s">
        <v>65</v>
      </c>
      <c r="B14" s="246">
        <f>+ER!B24</f>
        <v>6713000</v>
      </c>
      <c r="C14" s="246">
        <f>+ER!C24</f>
        <v>6713000</v>
      </c>
      <c r="D14" s="246">
        <f>+ER!D24</f>
        <v>6713000</v>
      </c>
      <c r="E14" s="246">
        <f>+ER!E24</f>
        <v>6713000</v>
      </c>
      <c r="F14" s="246">
        <f>+ER!F24</f>
        <v>6713000</v>
      </c>
      <c r="G14" s="246">
        <f>+ER!G24</f>
        <v>6713000</v>
      </c>
      <c r="H14" s="246">
        <f>+ER!H24</f>
        <v>6713000</v>
      </c>
      <c r="I14" s="246">
        <f>+ER!I24</f>
        <v>6713000</v>
      </c>
      <c r="J14" s="246">
        <f>+ER!J24</f>
        <v>6713000</v>
      </c>
      <c r="K14" s="246">
        <f>+ER!K24</f>
        <v>6713000</v>
      </c>
      <c r="L14" s="246">
        <f>+ER!L24</f>
        <v>6713000</v>
      </c>
      <c r="M14" s="246">
        <f>+ER!M24</f>
        <v>6713000</v>
      </c>
      <c r="N14" s="246">
        <f>+ER!N24</f>
        <v>6713000</v>
      </c>
      <c r="O14" s="246">
        <f>+ER!O24</f>
        <v>6433000</v>
      </c>
      <c r="P14" s="246">
        <f>+ER!P24</f>
        <v>0</v>
      </c>
    </row>
    <row r="15" spans="1:16" x14ac:dyDescent="0.2">
      <c r="A15" s="446" t="s">
        <v>66</v>
      </c>
      <c r="B15" s="322">
        <f t="shared" ref="B15:G15" si="4">+B14/B13</f>
        <v>0.85592247864337623</v>
      </c>
      <c r="C15" s="322">
        <f t="shared" si="4"/>
        <v>0.85592247864337623</v>
      </c>
      <c r="D15" s="322">
        <f t="shared" si="4"/>
        <v>0.85592247864337623</v>
      </c>
      <c r="E15" s="322">
        <f t="shared" si="4"/>
        <v>0.85592247864337623</v>
      </c>
      <c r="F15" s="322">
        <f t="shared" si="4"/>
        <v>0.85592247864337623</v>
      </c>
      <c r="G15" s="322">
        <f t="shared" si="4"/>
        <v>0.85592247864337623</v>
      </c>
      <c r="H15" s="322">
        <f t="shared" ref="H15" si="5">+H14/H13</f>
        <v>0.85592247864337623</v>
      </c>
      <c r="I15" s="322">
        <f t="shared" ref="I15" si="6">+I14/I13</f>
        <v>0.85592247864337623</v>
      </c>
      <c r="J15" s="322">
        <f t="shared" ref="J15" si="7">+J14/J13</f>
        <v>0.85592247864337623</v>
      </c>
      <c r="K15" s="322">
        <f t="shared" ref="K15" si="8">+K14/K13</f>
        <v>0.85592247864337623</v>
      </c>
      <c r="L15" s="322">
        <f t="shared" ref="L15" si="9">+L14/L13</f>
        <v>0.85592247864337623</v>
      </c>
      <c r="M15" s="322">
        <f t="shared" ref="M15" si="10">+M14/M13</f>
        <v>0.85592247864337623</v>
      </c>
      <c r="N15" s="322">
        <f t="shared" ref="N15" si="11">+N14/N13</f>
        <v>0.85592247864337623</v>
      </c>
      <c r="O15" s="322">
        <f t="shared" ref="O15" si="12">+O14/O13</f>
        <v>0.82022185388244295</v>
      </c>
      <c r="P15" s="322"/>
    </row>
    <row r="16" spans="1:16" x14ac:dyDescent="0.2">
      <c r="A16" s="446" t="s">
        <v>71</v>
      </c>
      <c r="B16" s="453">
        <f t="shared" ref="B16:G16" si="13">+B9</f>
        <v>39500</v>
      </c>
      <c r="C16" s="453">
        <f t="shared" si="13"/>
        <v>39500</v>
      </c>
      <c r="D16" s="453">
        <f t="shared" si="13"/>
        <v>39500</v>
      </c>
      <c r="E16" s="453">
        <f t="shared" si="13"/>
        <v>39500</v>
      </c>
      <c r="F16" s="453">
        <f t="shared" si="13"/>
        <v>39500</v>
      </c>
      <c r="G16" s="453">
        <f t="shared" si="13"/>
        <v>39500</v>
      </c>
      <c r="H16" s="453">
        <f t="shared" ref="H16:I16" si="14">+H9</f>
        <v>39500</v>
      </c>
      <c r="I16" s="453">
        <f t="shared" si="14"/>
        <v>39500</v>
      </c>
      <c r="J16" s="453">
        <f>+J9</f>
        <v>39500</v>
      </c>
      <c r="K16" s="453">
        <f>+K9</f>
        <v>39500</v>
      </c>
      <c r="L16" s="453">
        <f>+L9</f>
        <v>39500</v>
      </c>
      <c r="M16" s="453">
        <f>+M9</f>
        <v>38500</v>
      </c>
      <c r="N16" s="453">
        <f>+N9</f>
        <v>29000</v>
      </c>
      <c r="O16" s="405"/>
      <c r="P16" s="405"/>
    </row>
    <row r="17" spans="1:16" x14ac:dyDescent="0.2">
      <c r="A17" s="446" t="s">
        <v>12</v>
      </c>
      <c r="B17" s="454">
        <f t="shared" ref="B17:G17" si="15">+B15*B16</f>
        <v>33808.937906413361</v>
      </c>
      <c r="C17" s="454">
        <f t="shared" si="15"/>
        <v>33808.937906413361</v>
      </c>
      <c r="D17" s="454">
        <f t="shared" si="15"/>
        <v>33808.937906413361</v>
      </c>
      <c r="E17" s="454">
        <f t="shared" si="15"/>
        <v>33808.937906413361</v>
      </c>
      <c r="F17" s="454">
        <f t="shared" si="15"/>
        <v>33808.937906413361</v>
      </c>
      <c r="G17" s="454">
        <f t="shared" si="15"/>
        <v>33808.937906413361</v>
      </c>
      <c r="H17" s="454">
        <f t="shared" ref="H17:I17" si="16">+H15*H16</f>
        <v>33808.937906413361</v>
      </c>
      <c r="I17" s="454">
        <f t="shared" si="16"/>
        <v>33808.937906413361</v>
      </c>
      <c r="J17" s="454">
        <f>+J15*J16</f>
        <v>33808.937906413361</v>
      </c>
      <c r="K17" s="454">
        <f>+K15*K16</f>
        <v>33808.937906413361</v>
      </c>
      <c r="L17" s="454">
        <f>+L15*L16</f>
        <v>33808.937906413361</v>
      </c>
      <c r="M17" s="454">
        <f>+M15*M16</f>
        <v>32953.015427769984</v>
      </c>
      <c r="N17" s="454">
        <f>+N15*N16</f>
        <v>24821.75188065791</v>
      </c>
      <c r="O17" s="405"/>
      <c r="P17" s="405"/>
    </row>
    <row r="18" spans="1:16" x14ac:dyDescent="0.2">
      <c r="A18" s="144" t="s">
        <v>505</v>
      </c>
      <c r="M18" s="190"/>
      <c r="N18" s="190"/>
      <c r="O18" s="190"/>
      <c r="P18" s="190"/>
    </row>
    <row r="19" spans="1:16" x14ac:dyDescent="0.2">
      <c r="A19" s="144" t="s">
        <v>506</v>
      </c>
      <c r="M19" s="190"/>
      <c r="N19" s="190"/>
      <c r="O19" s="190"/>
      <c r="P19" s="190"/>
    </row>
    <row r="21" spans="1:16" x14ac:dyDescent="0.2">
      <c r="A21" s="455" t="s">
        <v>517</v>
      </c>
      <c r="B21" s="455"/>
      <c r="C21" s="455"/>
      <c r="D21" s="455"/>
      <c r="E21" s="455"/>
      <c r="F21" s="455"/>
      <c r="G21" s="455"/>
      <c r="H21" s="455"/>
      <c r="I21" s="455"/>
      <c r="J21" s="455"/>
      <c r="K21" s="455"/>
      <c r="L21" s="455"/>
    </row>
    <row r="22" spans="1:16" ht="25.5" customHeight="1" x14ac:dyDescent="0.2">
      <c r="A22" s="943" t="s">
        <v>523</v>
      </c>
      <c r="B22" s="943"/>
      <c r="C22" s="943"/>
      <c r="D22" s="943"/>
      <c r="E22" s="943"/>
      <c r="F22" s="943"/>
      <c r="G22" s="943"/>
      <c r="H22" s="943"/>
      <c r="I22" s="943"/>
      <c r="J22" s="943"/>
      <c r="K22" s="943"/>
      <c r="L22" s="943"/>
      <c r="M22" s="943"/>
      <c r="N22" s="943"/>
      <c r="O22" s="943"/>
      <c r="P22" s="943"/>
    </row>
    <row r="23" spans="1:16" x14ac:dyDescent="0.2">
      <c r="A23" s="144" t="s">
        <v>72</v>
      </c>
    </row>
    <row r="25" spans="1:16" ht="12.75" thickBot="1" x14ac:dyDescent="0.25">
      <c r="A25" s="443" t="s">
        <v>359</v>
      </c>
      <c r="B25" s="456">
        <v>2017</v>
      </c>
      <c r="C25" s="456">
        <v>2016</v>
      </c>
      <c r="D25" s="456">
        <v>2015</v>
      </c>
      <c r="E25" s="456">
        <v>2014</v>
      </c>
      <c r="F25" s="456">
        <v>2013</v>
      </c>
      <c r="G25" s="456">
        <v>2012</v>
      </c>
      <c r="H25" s="456">
        <v>2011</v>
      </c>
      <c r="I25" s="456">
        <v>2010</v>
      </c>
      <c r="J25" s="456">
        <v>2009</v>
      </c>
      <c r="K25" s="456">
        <v>2008</v>
      </c>
      <c r="L25" s="456">
        <v>2007</v>
      </c>
      <c r="M25" s="456">
        <v>2006</v>
      </c>
      <c r="N25" s="456">
        <v>2005</v>
      </c>
      <c r="O25" s="456">
        <v>2004</v>
      </c>
      <c r="P25" s="456">
        <v>2003</v>
      </c>
    </row>
    <row r="26" spans="1:16" x14ac:dyDescent="0.2">
      <c r="A26" s="445" t="s">
        <v>162</v>
      </c>
      <c r="B26" s="245">
        <v>71500</v>
      </c>
      <c r="C26" s="245">
        <v>71500</v>
      </c>
      <c r="D26" s="245">
        <v>71500</v>
      </c>
      <c r="E26" s="245">
        <v>71500</v>
      </c>
      <c r="F26" s="245">
        <v>71500</v>
      </c>
      <c r="G26" s="245">
        <v>71500</v>
      </c>
      <c r="H26" s="245">
        <v>71500</v>
      </c>
      <c r="I26" s="245">
        <v>71500</v>
      </c>
      <c r="J26" s="245">
        <v>71500</v>
      </c>
      <c r="K26" s="245">
        <v>71500</v>
      </c>
      <c r="L26" s="245">
        <v>71500</v>
      </c>
      <c r="M26" s="245">
        <v>69500</v>
      </c>
      <c r="N26" s="245">
        <v>74000</v>
      </c>
      <c r="O26" s="245">
        <v>55000</v>
      </c>
      <c r="P26" s="245">
        <v>27000</v>
      </c>
    </row>
    <row r="27" spans="1:16" x14ac:dyDescent="0.2">
      <c r="A27" s="446" t="s">
        <v>73</v>
      </c>
      <c r="B27" s="446"/>
      <c r="C27" s="446"/>
      <c r="D27" s="446"/>
      <c r="E27" s="446"/>
      <c r="F27" s="446"/>
      <c r="G27" s="446"/>
      <c r="H27" s="446"/>
      <c r="I27" s="446"/>
      <c r="J27" s="446"/>
      <c r="K27" s="446"/>
      <c r="L27" s="457"/>
      <c r="M27" s="457"/>
      <c r="N27" s="193"/>
      <c r="O27" s="249">
        <f>+O26</f>
        <v>55000</v>
      </c>
      <c r="P27" s="249">
        <f>+P26</f>
        <v>27000</v>
      </c>
    </row>
    <row r="30" spans="1:16" x14ac:dyDescent="0.2">
      <c r="A30" s="323" t="s">
        <v>518</v>
      </c>
      <c r="B30" s="323"/>
      <c r="C30" s="323"/>
      <c r="D30" s="323"/>
      <c r="E30" s="323"/>
      <c r="F30" s="323"/>
      <c r="G30" s="323"/>
      <c r="H30" s="323"/>
      <c r="I30" s="323"/>
      <c r="J30" s="323"/>
      <c r="K30" s="323"/>
      <c r="L30" s="323"/>
    </row>
    <row r="31" spans="1:16" x14ac:dyDescent="0.2">
      <c r="A31" s="458" t="s">
        <v>542</v>
      </c>
      <c r="B31" s="267"/>
      <c r="C31" s="267"/>
      <c r="D31" s="267"/>
      <c r="E31" s="267"/>
      <c r="F31" s="267"/>
      <c r="G31" s="267"/>
      <c r="H31" s="267"/>
      <c r="I31" s="267"/>
      <c r="J31" s="267"/>
      <c r="K31" s="267"/>
      <c r="L31" s="267"/>
      <c r="M31" s="267"/>
      <c r="N31" s="267"/>
      <c r="O31" s="267"/>
      <c r="P31" s="267"/>
    </row>
    <row r="32" spans="1:16" x14ac:dyDescent="0.2">
      <c r="A32" s="458" t="s">
        <v>543</v>
      </c>
      <c r="B32" s="267"/>
      <c r="C32" s="267"/>
      <c r="D32" s="267"/>
      <c r="E32" s="267"/>
      <c r="F32" s="267"/>
      <c r="G32" s="267"/>
      <c r="H32" s="267"/>
      <c r="I32" s="267"/>
      <c r="J32" s="267"/>
      <c r="K32" s="267"/>
      <c r="L32" s="267"/>
      <c r="M32" s="267"/>
      <c r="N32" s="267"/>
      <c r="O32" s="267"/>
      <c r="P32" s="267"/>
    </row>
    <row r="33" spans="1:16" x14ac:dyDescent="0.2">
      <c r="A33" s="458" t="s">
        <v>0</v>
      </c>
      <c r="B33" s="267"/>
      <c r="C33" s="267"/>
      <c r="D33" s="267"/>
      <c r="E33" s="267"/>
      <c r="F33" s="267"/>
      <c r="G33" s="267"/>
      <c r="H33" s="267"/>
      <c r="I33" s="267"/>
      <c r="J33" s="267"/>
      <c r="K33" s="267"/>
      <c r="L33" s="267"/>
      <c r="M33" s="267"/>
      <c r="N33" s="267"/>
      <c r="O33" s="267"/>
      <c r="P33" s="267"/>
    </row>
    <row r="34" spans="1:16" x14ac:dyDescent="0.2">
      <c r="A34" s="458" t="s">
        <v>541</v>
      </c>
      <c r="B34" s="458"/>
      <c r="C34" s="458"/>
      <c r="D34" s="458"/>
      <c r="E34" s="458"/>
      <c r="F34" s="458"/>
      <c r="G34" s="458"/>
      <c r="H34" s="458"/>
      <c r="I34" s="458"/>
      <c r="J34" s="458"/>
      <c r="K34" s="458"/>
      <c r="L34" s="458"/>
      <c r="M34" s="458"/>
      <c r="N34" s="458"/>
      <c r="O34" s="458"/>
      <c r="P34" s="458"/>
    </row>
    <row r="36" spans="1:16" x14ac:dyDescent="0.2">
      <c r="A36" s="456" t="s">
        <v>263</v>
      </c>
      <c r="B36" s="456">
        <f t="shared" ref="B36:O36" si="17">+B25</f>
        <v>2017</v>
      </c>
      <c r="C36" s="456">
        <f t="shared" si="17"/>
        <v>2016</v>
      </c>
      <c r="D36" s="456">
        <f t="shared" si="17"/>
        <v>2015</v>
      </c>
      <c r="E36" s="456">
        <f t="shared" si="17"/>
        <v>2014</v>
      </c>
      <c r="F36" s="456">
        <f t="shared" si="17"/>
        <v>2013</v>
      </c>
      <c r="G36" s="456">
        <f t="shared" si="17"/>
        <v>2012</v>
      </c>
      <c r="H36" s="456">
        <f t="shared" si="17"/>
        <v>2011</v>
      </c>
      <c r="I36" s="456">
        <f t="shared" si="17"/>
        <v>2010</v>
      </c>
      <c r="J36" s="456">
        <f t="shared" si="17"/>
        <v>2009</v>
      </c>
      <c r="K36" s="456">
        <f t="shared" si="17"/>
        <v>2008</v>
      </c>
      <c r="L36" s="456">
        <f t="shared" si="17"/>
        <v>2007</v>
      </c>
      <c r="M36" s="456">
        <f t="shared" si="17"/>
        <v>2006</v>
      </c>
      <c r="N36" s="456">
        <f t="shared" si="17"/>
        <v>2005</v>
      </c>
      <c r="O36" s="456">
        <f t="shared" si="17"/>
        <v>2004</v>
      </c>
      <c r="P36" s="456">
        <f>+P25</f>
        <v>2003</v>
      </c>
    </row>
    <row r="37" spans="1:16" x14ac:dyDescent="0.2">
      <c r="A37" s="320" t="s">
        <v>368</v>
      </c>
      <c r="B37" s="246">
        <f>+ER!B21</f>
        <v>6713000</v>
      </c>
      <c r="C37" s="246">
        <f>+ER!C21</f>
        <v>6713000</v>
      </c>
      <c r="D37" s="246">
        <f>+ER!D21</f>
        <v>6713000</v>
      </c>
      <c r="E37" s="246">
        <f>+ER!E21</f>
        <v>6713000</v>
      </c>
      <c r="F37" s="246">
        <f>+ER!F21</f>
        <v>6713000</v>
      </c>
      <c r="G37" s="246">
        <f>+ER!G21</f>
        <v>6713000</v>
      </c>
      <c r="H37" s="246">
        <f>+ER!H21</f>
        <v>6713000</v>
      </c>
      <c r="I37" s="246">
        <f>+ER!I21</f>
        <v>6713000</v>
      </c>
      <c r="J37" s="246">
        <f>+ER!J21</f>
        <v>6713000</v>
      </c>
      <c r="K37" s="246">
        <f>+ER!K21</f>
        <v>6713000</v>
      </c>
      <c r="L37" s="246">
        <f>+ER!L21</f>
        <v>6713000</v>
      </c>
      <c r="M37" s="246">
        <f>+ER!M21</f>
        <v>6713000</v>
      </c>
      <c r="N37" s="246">
        <f>+ER!N21</f>
        <v>6713000</v>
      </c>
      <c r="O37" s="246">
        <f>+ER!O21</f>
        <v>6713000</v>
      </c>
      <c r="P37" s="246">
        <f>+'Acum inventario'!F6</f>
        <v>6600000</v>
      </c>
    </row>
    <row r="38" spans="1:16" ht="24" x14ac:dyDescent="0.2">
      <c r="A38" s="272" t="s">
        <v>469</v>
      </c>
      <c r="B38" s="246">
        <f t="shared" ref="B38" si="18">+C39</f>
        <v>67000</v>
      </c>
      <c r="C38" s="246">
        <f t="shared" ref="C38" si="19">+D39</f>
        <v>67000</v>
      </c>
      <c r="D38" s="246">
        <f t="shared" ref="D38" si="20">+E39</f>
        <v>67000</v>
      </c>
      <c r="E38" s="246">
        <f t="shared" ref="E38" si="21">+F39</f>
        <v>67000</v>
      </c>
      <c r="F38" s="246">
        <f t="shared" ref="F38" si="22">+G39</f>
        <v>67000</v>
      </c>
      <c r="G38" s="246">
        <f t="shared" ref="G38" si="23">+H39</f>
        <v>67000</v>
      </c>
      <c r="H38" s="246">
        <f t="shared" ref="H38" si="24">+I39</f>
        <v>67000</v>
      </c>
      <c r="I38" s="246">
        <f t="shared" ref="I38" si="25">+J39</f>
        <v>67000</v>
      </c>
      <c r="J38" s="246">
        <f t="shared" ref="J38:O38" si="26">+K39</f>
        <v>67000</v>
      </c>
      <c r="K38" s="246">
        <f t="shared" si="26"/>
        <v>67000</v>
      </c>
      <c r="L38" s="246">
        <f t="shared" si="26"/>
        <v>55000</v>
      </c>
      <c r="M38" s="246">
        <f t="shared" si="26"/>
        <v>140000</v>
      </c>
      <c r="N38" s="246">
        <f t="shared" si="26"/>
        <v>76000</v>
      </c>
      <c r="O38" s="246">
        <f t="shared" si="26"/>
        <v>13000</v>
      </c>
      <c r="P38" s="246">
        <v>120000</v>
      </c>
    </row>
    <row r="39" spans="1:16" ht="24" x14ac:dyDescent="0.2">
      <c r="A39" s="272" t="s">
        <v>470</v>
      </c>
      <c r="B39" s="246">
        <v>67000</v>
      </c>
      <c r="C39" s="246">
        <v>67000</v>
      </c>
      <c r="D39" s="246">
        <v>67000</v>
      </c>
      <c r="E39" s="246">
        <v>67000</v>
      </c>
      <c r="F39" s="246">
        <v>67000</v>
      </c>
      <c r="G39" s="246">
        <v>67000</v>
      </c>
      <c r="H39" s="246">
        <v>67000</v>
      </c>
      <c r="I39" s="246">
        <v>67000</v>
      </c>
      <c r="J39" s="246">
        <v>67000</v>
      </c>
      <c r="K39" s="246">
        <v>67000</v>
      </c>
      <c r="L39" s="246">
        <v>67000</v>
      </c>
      <c r="M39" s="246">
        <v>55000</v>
      </c>
      <c r="N39" s="246">
        <v>140000</v>
      </c>
      <c r="O39" s="246">
        <v>76000</v>
      </c>
      <c r="P39" s="246">
        <v>13000</v>
      </c>
    </row>
    <row r="40" spans="1:16" x14ac:dyDescent="0.2">
      <c r="A40" s="320" t="s">
        <v>540</v>
      </c>
      <c r="B40" s="220"/>
      <c r="C40" s="220"/>
      <c r="D40" s="220"/>
      <c r="E40" s="220"/>
      <c r="F40" s="220"/>
      <c r="G40" s="220"/>
      <c r="H40" s="220"/>
      <c r="I40" s="220"/>
      <c r="J40" s="220"/>
      <c r="K40" s="220"/>
      <c r="L40" s="220"/>
      <c r="M40" s="220"/>
      <c r="N40" s="220"/>
      <c r="O40" s="246">
        <f>+O37+O38-O39</f>
        <v>6650000</v>
      </c>
      <c r="P40" s="246">
        <f>+P37+P38-P39</f>
        <v>6707000</v>
      </c>
    </row>
    <row r="41" spans="1:16" x14ac:dyDescent="0.2">
      <c r="A41" s="272" t="s">
        <v>471</v>
      </c>
      <c r="B41" s="247">
        <f t="shared" ref="B41:G41" si="27">+B38-B39</f>
        <v>0</v>
      </c>
      <c r="C41" s="247">
        <f t="shared" si="27"/>
        <v>0</v>
      </c>
      <c r="D41" s="247">
        <f t="shared" si="27"/>
        <v>0</v>
      </c>
      <c r="E41" s="247">
        <f t="shared" si="27"/>
        <v>0</v>
      </c>
      <c r="F41" s="247">
        <f t="shared" si="27"/>
        <v>0</v>
      </c>
      <c r="G41" s="247">
        <f t="shared" si="27"/>
        <v>0</v>
      </c>
      <c r="H41" s="247">
        <f t="shared" ref="H41:K41" si="28">+H38-H39</f>
        <v>0</v>
      </c>
      <c r="I41" s="247">
        <f t="shared" si="28"/>
        <v>0</v>
      </c>
      <c r="J41" s="247">
        <f t="shared" si="28"/>
        <v>0</v>
      </c>
      <c r="K41" s="247">
        <f t="shared" si="28"/>
        <v>0</v>
      </c>
      <c r="L41" s="247">
        <f>+L38-L39</f>
        <v>-12000</v>
      </c>
      <c r="M41" s="247">
        <f>+M38-M39</f>
        <v>85000</v>
      </c>
      <c r="N41" s="247">
        <f>+N38-N39</f>
        <v>-64000</v>
      </c>
      <c r="O41" s="246"/>
      <c r="P41" s="246"/>
    </row>
    <row r="43" spans="1:16" x14ac:dyDescent="0.2">
      <c r="A43" s="458" t="s">
        <v>1</v>
      </c>
      <c r="B43" s="267"/>
      <c r="C43" s="267"/>
      <c r="D43" s="267"/>
      <c r="E43" s="267"/>
      <c r="F43" s="267"/>
      <c r="G43" s="267"/>
      <c r="H43" s="267"/>
      <c r="I43" s="267"/>
      <c r="J43" s="267"/>
      <c r="K43" s="267"/>
      <c r="L43" s="267"/>
      <c r="M43" s="267"/>
      <c r="N43" s="267"/>
      <c r="O43" s="267"/>
      <c r="P43" s="267"/>
    </row>
    <row r="45" spans="1:16" x14ac:dyDescent="0.2">
      <c r="A45" s="323" t="s">
        <v>532</v>
      </c>
      <c r="B45" s="323"/>
      <c r="C45" s="323"/>
      <c r="D45" s="323"/>
      <c r="E45" s="323"/>
      <c r="F45" s="323"/>
      <c r="G45" s="323"/>
      <c r="H45" s="323"/>
      <c r="I45" s="323"/>
      <c r="J45" s="323"/>
      <c r="K45" s="323"/>
      <c r="L45" s="323"/>
    </row>
    <row r="46" spans="1:16" x14ac:dyDescent="0.2">
      <c r="A46" s="458" t="s">
        <v>534</v>
      </c>
      <c r="B46" s="267"/>
      <c r="C46" s="267"/>
      <c r="D46" s="267"/>
      <c r="E46" s="267"/>
      <c r="F46" s="267"/>
      <c r="G46" s="267"/>
      <c r="H46" s="267"/>
      <c r="I46" s="267"/>
      <c r="J46" s="267"/>
      <c r="K46" s="267"/>
      <c r="L46" s="267"/>
      <c r="M46" s="267"/>
      <c r="N46" s="267"/>
      <c r="O46" s="267"/>
      <c r="P46" s="267"/>
    </row>
    <row r="47" spans="1:16" x14ac:dyDescent="0.2">
      <c r="A47" s="458" t="s">
        <v>537</v>
      </c>
      <c r="B47" s="267"/>
      <c r="C47" s="267"/>
      <c r="D47" s="267"/>
      <c r="E47" s="267"/>
      <c r="F47" s="267"/>
      <c r="G47" s="267"/>
      <c r="H47" s="267"/>
      <c r="I47" s="267"/>
      <c r="J47" s="267"/>
      <c r="K47" s="267"/>
      <c r="L47" s="267"/>
      <c r="M47" s="267"/>
      <c r="N47" s="267"/>
      <c r="O47" s="267"/>
      <c r="P47" s="267"/>
    </row>
    <row r="48" spans="1:16" x14ac:dyDescent="0.2">
      <c r="A48" s="458" t="s">
        <v>536</v>
      </c>
      <c r="B48" s="267"/>
      <c r="C48" s="267"/>
      <c r="D48" s="267"/>
      <c r="E48" s="267"/>
      <c r="F48" s="267"/>
      <c r="G48" s="267"/>
      <c r="H48" s="267"/>
      <c r="I48" s="267"/>
      <c r="J48" s="267"/>
      <c r="K48" s="267"/>
      <c r="L48" s="267"/>
      <c r="M48" s="267"/>
      <c r="N48" s="267"/>
      <c r="O48" s="267"/>
      <c r="P48" s="267"/>
    </row>
    <row r="49" spans="1:16" x14ac:dyDescent="0.2">
      <c r="A49" s="458" t="s">
        <v>535</v>
      </c>
      <c r="B49" s="458"/>
      <c r="C49" s="458"/>
      <c r="D49" s="458"/>
      <c r="E49" s="458"/>
      <c r="F49" s="458"/>
      <c r="G49" s="458"/>
      <c r="H49" s="458"/>
      <c r="I49" s="458"/>
      <c r="J49" s="458"/>
      <c r="K49" s="458"/>
      <c r="L49" s="458"/>
      <c r="M49" s="458"/>
      <c r="N49" s="458"/>
      <c r="O49" s="458"/>
      <c r="P49" s="458"/>
    </row>
    <row r="50" spans="1:16" x14ac:dyDescent="0.2">
      <c r="A50" s="458" t="s">
        <v>541</v>
      </c>
      <c r="B50" s="458"/>
      <c r="C50" s="458"/>
      <c r="D50" s="458"/>
      <c r="E50" s="458"/>
      <c r="F50" s="458"/>
      <c r="G50" s="458"/>
      <c r="H50" s="458"/>
      <c r="I50" s="458"/>
      <c r="J50" s="458"/>
      <c r="K50" s="458"/>
      <c r="L50" s="458"/>
      <c r="M50" s="458"/>
      <c r="N50" s="458"/>
      <c r="O50" s="458"/>
      <c r="P50" s="458"/>
    </row>
    <row r="52" spans="1:16" x14ac:dyDescent="0.2">
      <c r="A52" s="456" t="s">
        <v>263</v>
      </c>
      <c r="B52" s="456">
        <f t="shared" ref="B52:G52" si="29">+B36</f>
        <v>2017</v>
      </c>
      <c r="C52" s="456">
        <f t="shared" si="29"/>
        <v>2016</v>
      </c>
      <c r="D52" s="456">
        <f t="shared" si="29"/>
        <v>2015</v>
      </c>
      <c r="E52" s="456">
        <f t="shared" si="29"/>
        <v>2014</v>
      </c>
      <c r="F52" s="456">
        <f t="shared" si="29"/>
        <v>2013</v>
      </c>
      <c r="G52" s="456">
        <f t="shared" si="29"/>
        <v>2012</v>
      </c>
      <c r="H52" s="456">
        <f t="shared" ref="H52:P52" si="30">+H36</f>
        <v>2011</v>
      </c>
      <c r="I52" s="456">
        <f t="shared" si="30"/>
        <v>2010</v>
      </c>
      <c r="J52" s="456">
        <f t="shared" si="30"/>
        <v>2009</v>
      </c>
      <c r="K52" s="456">
        <f t="shared" si="30"/>
        <v>2008</v>
      </c>
      <c r="L52" s="456">
        <f t="shared" si="30"/>
        <v>2007</v>
      </c>
      <c r="M52" s="456">
        <f t="shared" si="30"/>
        <v>2006</v>
      </c>
      <c r="N52" s="456">
        <f t="shared" si="30"/>
        <v>2005</v>
      </c>
      <c r="O52" s="456">
        <f t="shared" si="30"/>
        <v>2004</v>
      </c>
      <c r="P52" s="456">
        <f t="shared" si="30"/>
        <v>2003</v>
      </c>
    </row>
    <row r="53" spans="1:16" x14ac:dyDescent="0.2">
      <c r="A53" s="320" t="s">
        <v>368</v>
      </c>
      <c r="B53" s="246">
        <f t="shared" ref="B53:G53" si="31">+B37</f>
        <v>6713000</v>
      </c>
      <c r="C53" s="246">
        <f t="shared" si="31"/>
        <v>6713000</v>
      </c>
      <c r="D53" s="246">
        <f t="shared" si="31"/>
        <v>6713000</v>
      </c>
      <c r="E53" s="246">
        <f t="shared" si="31"/>
        <v>6713000</v>
      </c>
      <c r="F53" s="246">
        <f t="shared" si="31"/>
        <v>6713000</v>
      </c>
      <c r="G53" s="246">
        <f t="shared" si="31"/>
        <v>6713000</v>
      </c>
      <c r="H53" s="246">
        <f t="shared" ref="H53:J53" si="32">+H37</f>
        <v>6713000</v>
      </c>
      <c r="I53" s="246">
        <f t="shared" si="32"/>
        <v>6713000</v>
      </c>
      <c r="J53" s="246">
        <f t="shared" si="32"/>
        <v>6713000</v>
      </c>
      <c r="K53" s="246">
        <f>+K37</f>
        <v>6713000</v>
      </c>
      <c r="L53" s="246">
        <f>+L37</f>
        <v>6713000</v>
      </c>
      <c r="M53" s="246">
        <f>+M37</f>
        <v>6713000</v>
      </c>
      <c r="N53" s="246">
        <f>+ER!N21</f>
        <v>6713000</v>
      </c>
      <c r="O53" s="246">
        <f>+ER!O21</f>
        <v>6713000</v>
      </c>
      <c r="P53" s="246">
        <f>+'Acum inventario'!F6</f>
        <v>6600000</v>
      </c>
    </row>
    <row r="54" spans="1:16" ht="24" x14ac:dyDescent="0.2">
      <c r="A54" s="272" t="s">
        <v>538</v>
      </c>
      <c r="B54" s="246">
        <f t="shared" ref="B54" si="33">+C55</f>
        <v>121000</v>
      </c>
      <c r="C54" s="246">
        <f t="shared" ref="C54" si="34">+D55</f>
        <v>121000</v>
      </c>
      <c r="D54" s="246">
        <f t="shared" ref="D54" si="35">+E55</f>
        <v>121000</v>
      </c>
      <c r="E54" s="246">
        <f t="shared" ref="E54" si="36">+F55</f>
        <v>121000</v>
      </c>
      <c r="F54" s="246">
        <f t="shared" ref="F54" si="37">+G55</f>
        <v>121000</v>
      </c>
      <c r="G54" s="246">
        <f t="shared" ref="G54" si="38">+H55</f>
        <v>121000</v>
      </c>
      <c r="H54" s="246">
        <f t="shared" ref="H54" si="39">+I55</f>
        <v>121000</v>
      </c>
      <c r="I54" s="246">
        <f t="shared" ref="I54" si="40">+J55</f>
        <v>121000</v>
      </c>
      <c r="J54" s="246">
        <f t="shared" ref="J54:O54" si="41">+K55</f>
        <v>121000</v>
      </c>
      <c r="K54" s="246">
        <f t="shared" si="41"/>
        <v>121000</v>
      </c>
      <c r="L54" s="246">
        <f t="shared" si="41"/>
        <v>26000</v>
      </c>
      <c r="M54" s="246">
        <f t="shared" si="41"/>
        <v>304000</v>
      </c>
      <c r="N54" s="246">
        <f t="shared" si="41"/>
        <v>88000</v>
      </c>
      <c r="O54" s="246">
        <f t="shared" si="41"/>
        <v>144000</v>
      </c>
      <c r="P54" s="246">
        <v>155000</v>
      </c>
    </row>
    <row r="55" spans="1:16" ht="24" x14ac:dyDescent="0.2">
      <c r="A55" s="272" t="s">
        <v>539</v>
      </c>
      <c r="B55" s="246">
        <v>121000</v>
      </c>
      <c r="C55" s="246">
        <v>121000</v>
      </c>
      <c r="D55" s="246">
        <v>121000</v>
      </c>
      <c r="E55" s="246">
        <v>121000</v>
      </c>
      <c r="F55" s="246">
        <v>121000</v>
      </c>
      <c r="G55" s="246">
        <v>121000</v>
      </c>
      <c r="H55" s="246">
        <v>121000</v>
      </c>
      <c r="I55" s="246">
        <v>121000</v>
      </c>
      <c r="J55" s="246">
        <v>121000</v>
      </c>
      <c r="K55" s="246">
        <v>121000</v>
      </c>
      <c r="L55" s="246">
        <v>121000</v>
      </c>
      <c r="M55" s="246">
        <v>26000</v>
      </c>
      <c r="N55" s="246">
        <v>304000</v>
      </c>
      <c r="O55" s="246">
        <v>88000</v>
      </c>
      <c r="P55" s="246">
        <v>144000</v>
      </c>
    </row>
    <row r="56" spans="1:16" x14ac:dyDescent="0.2">
      <c r="A56" s="320" t="s">
        <v>540</v>
      </c>
      <c r="B56" s="220"/>
      <c r="C56" s="220"/>
      <c r="D56" s="220"/>
      <c r="E56" s="220"/>
      <c r="F56" s="220"/>
      <c r="G56" s="220"/>
      <c r="H56" s="220"/>
      <c r="I56" s="220"/>
      <c r="J56" s="220"/>
      <c r="K56" s="220"/>
      <c r="L56" s="220"/>
      <c r="M56" s="220"/>
      <c r="N56" s="220"/>
      <c r="O56" s="246">
        <f>+O53+O54-O55</f>
        <v>6769000</v>
      </c>
      <c r="P56" s="246">
        <f>+P53+P54-P55</f>
        <v>6611000</v>
      </c>
    </row>
    <row r="57" spans="1:16" x14ac:dyDescent="0.2">
      <c r="M57" s="190"/>
      <c r="N57" s="190"/>
      <c r="O57" s="190"/>
    </row>
    <row r="58" spans="1:16" x14ac:dyDescent="0.2">
      <c r="A58" s="323" t="s">
        <v>2</v>
      </c>
      <c r="B58" s="323"/>
      <c r="C58" s="323"/>
      <c r="D58" s="323"/>
      <c r="E58" s="323"/>
      <c r="F58" s="323"/>
      <c r="G58" s="323"/>
      <c r="H58" s="323"/>
      <c r="I58" s="323"/>
      <c r="J58" s="323"/>
      <c r="K58" s="323"/>
      <c r="L58" s="323"/>
    </row>
    <row r="59" spans="1:16" x14ac:dyDescent="0.2">
      <c r="A59" s="144" t="s">
        <v>533</v>
      </c>
    </row>
    <row r="60" spans="1:16" x14ac:dyDescent="0.2">
      <c r="A60" s="458" t="s">
        <v>14</v>
      </c>
      <c r="B60" s="267"/>
      <c r="C60" s="267"/>
      <c r="D60" s="267"/>
      <c r="E60" s="267"/>
      <c r="F60" s="267"/>
      <c r="G60" s="267"/>
      <c r="H60" s="267"/>
      <c r="I60" s="267"/>
      <c r="J60" s="267"/>
      <c r="K60" s="267"/>
      <c r="L60" s="267"/>
      <c r="M60" s="267"/>
      <c r="N60" s="267"/>
      <c r="O60" s="267"/>
      <c r="P60" s="267"/>
    </row>
    <row r="61" spans="1:16" x14ac:dyDescent="0.2">
      <c r="A61" s="458" t="s">
        <v>15</v>
      </c>
      <c r="B61" s="267"/>
      <c r="C61" s="267"/>
      <c r="D61" s="267"/>
      <c r="E61" s="267"/>
      <c r="F61" s="267"/>
      <c r="G61" s="267"/>
      <c r="H61" s="267"/>
      <c r="I61" s="267"/>
      <c r="J61" s="267"/>
      <c r="K61" s="267"/>
      <c r="L61" s="267"/>
      <c r="M61" s="267"/>
      <c r="N61" s="267"/>
      <c r="O61" s="267"/>
      <c r="P61" s="267"/>
    </row>
    <row r="63" spans="1:16" x14ac:dyDescent="0.2">
      <c r="A63" s="456" t="s">
        <v>263</v>
      </c>
      <c r="B63" s="456">
        <f t="shared" ref="B63:G63" si="42">+B52</f>
        <v>2017</v>
      </c>
      <c r="C63" s="456">
        <f t="shared" si="42"/>
        <v>2016</v>
      </c>
      <c r="D63" s="456">
        <f t="shared" si="42"/>
        <v>2015</v>
      </c>
      <c r="E63" s="456">
        <f t="shared" si="42"/>
        <v>2014</v>
      </c>
      <c r="F63" s="456">
        <f t="shared" si="42"/>
        <v>2013</v>
      </c>
      <c r="G63" s="456">
        <f t="shared" si="42"/>
        <v>2012</v>
      </c>
      <c r="H63" s="456">
        <f t="shared" ref="H63:P63" si="43">+H52</f>
        <v>2011</v>
      </c>
      <c r="I63" s="456">
        <f t="shared" si="43"/>
        <v>2010</v>
      </c>
      <c r="J63" s="456">
        <f t="shared" si="43"/>
        <v>2009</v>
      </c>
      <c r="K63" s="456">
        <f t="shared" si="43"/>
        <v>2008</v>
      </c>
      <c r="L63" s="456">
        <f t="shared" si="43"/>
        <v>2007</v>
      </c>
      <c r="M63" s="456">
        <f t="shared" si="43"/>
        <v>2006</v>
      </c>
      <c r="N63" s="456">
        <f t="shared" si="43"/>
        <v>2005</v>
      </c>
      <c r="O63" s="456">
        <f t="shared" si="43"/>
        <v>2004</v>
      </c>
      <c r="P63" s="456">
        <f t="shared" si="43"/>
        <v>2003</v>
      </c>
    </row>
    <row r="64" spans="1:16" ht="24" x14ac:dyDescent="0.2">
      <c r="A64" s="272" t="s">
        <v>480</v>
      </c>
      <c r="B64" s="246">
        <f>+'RF y dividendos'!B6</f>
        <v>711296.80720728077</v>
      </c>
      <c r="C64" s="246">
        <f>+'RF y dividendos'!C6</f>
        <v>714354.90392467845</v>
      </c>
      <c r="D64" s="246">
        <f>+'RF y dividendos'!D6</f>
        <v>719272.74889495876</v>
      </c>
      <c r="E64" s="246">
        <f>+'RF y dividendos'!E6</f>
        <v>744886.64312541112</v>
      </c>
      <c r="F64" s="246">
        <f>+'RF y dividendos'!F6</f>
        <v>761211.92920354009</v>
      </c>
      <c r="G64" s="246">
        <f>+'RF y dividendos'!G6</f>
        <v>777919.89380531013</v>
      </c>
      <c r="H64" s="246">
        <f>+'RF y dividendos'!H6</f>
        <v>726321.96460177004</v>
      </c>
      <c r="I64" s="246">
        <f>+'RF y dividendos'!I6</f>
        <v>1108416.4403532166</v>
      </c>
      <c r="J64" s="246">
        <f>+'RF y dividendos'!J6</f>
        <v>641720</v>
      </c>
      <c r="K64" s="246">
        <f>+'RF y dividendos'!K6</f>
        <v>641719.99999999907</v>
      </c>
      <c r="L64" s="246">
        <f>+'RF y dividendos'!L6</f>
        <v>951831.07752135675</v>
      </c>
      <c r="M64" s="246">
        <f>+'RF y dividendos'!M6</f>
        <v>691705.7364528887</v>
      </c>
      <c r="N64" s="246">
        <f>+'RF y dividendos'!N6</f>
        <v>530106.24811934214</v>
      </c>
      <c r="O64" s="246">
        <v>0</v>
      </c>
      <c r="P64" s="246">
        <f>+'RF y dividendos'!P6</f>
        <v>300000</v>
      </c>
    </row>
    <row r="65" spans="1:16" ht="12.75" thickBot="1" x14ac:dyDescent="0.25">
      <c r="A65" s="272" t="s">
        <v>481</v>
      </c>
      <c r="B65" s="459">
        <f>+'RF y dividendos'!B8</f>
        <v>0</v>
      </c>
      <c r="C65" s="459">
        <f>+'RF y dividendos'!C8</f>
        <v>0</v>
      </c>
      <c r="D65" s="459">
        <f>+'RF y dividendos'!D8</f>
        <v>0</v>
      </c>
      <c r="E65" s="459">
        <f>+'RF y dividendos'!E8</f>
        <v>0</v>
      </c>
      <c r="F65" s="459">
        <f>+'RF y dividendos'!F8</f>
        <v>0</v>
      </c>
      <c r="G65" s="459">
        <f>+'RF y dividendos'!G8</f>
        <v>0</v>
      </c>
      <c r="H65" s="459">
        <f>+'RF y dividendos'!H8</f>
        <v>33415.929203539825</v>
      </c>
      <c r="I65" s="459">
        <f>+'RF y dividendos'!I8</f>
        <v>33415.929203539825</v>
      </c>
      <c r="J65" s="459">
        <f>+'RF y dividendos'!J8</f>
        <v>50123.893805309737</v>
      </c>
      <c r="K65" s="459">
        <f>+'RF y dividendos'!K8</f>
        <v>50123.893805309737</v>
      </c>
      <c r="L65" s="459">
        <f>+'RF y dividendos'!L8</f>
        <v>75185.840707964613</v>
      </c>
      <c r="M65" s="459">
        <f>+'RF y dividendos'!M8</f>
        <v>75185.840707964613</v>
      </c>
      <c r="N65" s="459">
        <f>+'RF y dividendos'!N8</f>
        <v>100247.78761061949</v>
      </c>
      <c r="O65" s="324"/>
      <c r="P65" s="324"/>
    </row>
    <row r="66" spans="1:16" ht="24.75" thickBot="1" x14ac:dyDescent="0.25">
      <c r="A66" s="270" t="s">
        <v>398</v>
      </c>
      <c r="B66" s="268"/>
      <c r="C66" s="268"/>
      <c r="D66" s="268"/>
      <c r="E66" s="268"/>
      <c r="F66" s="268"/>
      <c r="G66" s="268"/>
      <c r="H66" s="268"/>
      <c r="I66" s="268"/>
      <c r="J66" s="268"/>
      <c r="K66" s="268"/>
      <c r="L66" s="268"/>
      <c r="M66" s="271"/>
      <c r="N66" s="269">
        <f>+'RF y dividendos'!N9</f>
        <v>21000</v>
      </c>
      <c r="O66" s="324"/>
      <c r="P66" s="324"/>
    </row>
    <row r="67" spans="1:16" ht="24" x14ac:dyDescent="0.2">
      <c r="A67" s="272" t="s">
        <v>484</v>
      </c>
      <c r="B67" s="459">
        <f>+'RF y dividendos'!B10</f>
        <v>0</v>
      </c>
      <c r="C67" s="459">
        <f>+'RF y dividendos'!C10</f>
        <v>0</v>
      </c>
      <c r="D67" s="459">
        <f>+'RF y dividendos'!D10</f>
        <v>0</v>
      </c>
      <c r="E67" s="459">
        <f>+'RF y dividendos'!E10</f>
        <v>0</v>
      </c>
      <c r="F67" s="459">
        <f>+'RF y dividendos'!F10</f>
        <v>0</v>
      </c>
      <c r="G67" s="459">
        <f>+'RF y dividendos'!G10</f>
        <v>0</v>
      </c>
      <c r="H67" s="459">
        <f>+'RF y dividendos'!H10</f>
        <v>0</v>
      </c>
      <c r="I67" s="459">
        <f>+'RF y dividendos'!I10</f>
        <v>0</v>
      </c>
      <c r="J67" s="459">
        <f>+'RF y dividendos'!J10</f>
        <v>0</v>
      </c>
      <c r="K67" s="459">
        <f>+'RF y dividendos'!K10</f>
        <v>0</v>
      </c>
      <c r="L67" s="459">
        <f>+'RF y dividendos'!L10</f>
        <v>258973.45132743364</v>
      </c>
      <c r="M67" s="459">
        <f>+'RF y dividendos'!M10</f>
        <v>0</v>
      </c>
      <c r="N67" s="459">
        <f>+'RF y dividendos'!N10</f>
        <v>354208.8495575221</v>
      </c>
      <c r="O67" s="324"/>
      <c r="P67" s="324"/>
    </row>
    <row r="68" spans="1:16" ht="12.75" thickBot="1" x14ac:dyDescent="0.25">
      <c r="A68" s="460" t="s">
        <v>485</v>
      </c>
      <c r="B68" s="248">
        <f t="shared" ref="B68:G68" si="44">SUM(B64:B67)</f>
        <v>711296.80720728077</v>
      </c>
      <c r="C68" s="248">
        <f t="shared" si="44"/>
        <v>714354.90392467845</v>
      </c>
      <c r="D68" s="248">
        <f t="shared" si="44"/>
        <v>719272.74889495876</v>
      </c>
      <c r="E68" s="248">
        <f t="shared" si="44"/>
        <v>744886.64312541112</v>
      </c>
      <c r="F68" s="248">
        <f t="shared" si="44"/>
        <v>761211.92920354009</v>
      </c>
      <c r="G68" s="248">
        <f t="shared" si="44"/>
        <v>777919.89380531013</v>
      </c>
      <c r="H68" s="248">
        <f t="shared" ref="H68:J68" si="45">SUM(H64:H67)</f>
        <v>759737.8938053099</v>
      </c>
      <c r="I68" s="248">
        <f t="shared" si="45"/>
        <v>1141832.3695567565</v>
      </c>
      <c r="J68" s="248">
        <f t="shared" si="45"/>
        <v>691843.89380530978</v>
      </c>
      <c r="K68" s="248">
        <f t="shared" ref="K68:P68" si="46">SUM(K64:K67)</f>
        <v>691843.89380530885</v>
      </c>
      <c r="L68" s="248">
        <f t="shared" si="46"/>
        <v>1285990.3695567551</v>
      </c>
      <c r="M68" s="248">
        <f t="shared" si="46"/>
        <v>766891.57716085331</v>
      </c>
      <c r="N68" s="248">
        <f t="shared" si="46"/>
        <v>1005562.8852874837</v>
      </c>
      <c r="O68" s="248">
        <f t="shared" si="46"/>
        <v>0</v>
      </c>
      <c r="P68" s="248">
        <f t="shared" si="46"/>
        <v>300000</v>
      </c>
    </row>
    <row r="69" spans="1:16" ht="24" x14ac:dyDescent="0.2">
      <c r="A69" s="461" t="s">
        <v>486</v>
      </c>
      <c r="B69" s="245">
        <f t="shared" ref="B69:G69" si="47">+B64*0.1</f>
        <v>71129.68072072808</v>
      </c>
      <c r="C69" s="245">
        <f t="shared" si="47"/>
        <v>71435.490392467851</v>
      </c>
      <c r="D69" s="245">
        <f t="shared" si="47"/>
        <v>71927.274889495879</v>
      </c>
      <c r="E69" s="245">
        <f t="shared" si="47"/>
        <v>74488.664312541121</v>
      </c>
      <c r="F69" s="245">
        <f t="shared" si="47"/>
        <v>76121.192920354006</v>
      </c>
      <c r="G69" s="245">
        <f t="shared" si="47"/>
        <v>77791.989380531013</v>
      </c>
      <c r="H69" s="245">
        <f t="shared" ref="H69:I69" si="48">+H64*0.1</f>
        <v>72632.196460177001</v>
      </c>
      <c r="I69" s="245">
        <f t="shared" si="48"/>
        <v>110841.64403532166</v>
      </c>
      <c r="J69" s="245">
        <f t="shared" ref="J69:P69" si="49">+J64*0.1</f>
        <v>64172</v>
      </c>
      <c r="K69" s="245">
        <f t="shared" si="49"/>
        <v>64171.999999999913</v>
      </c>
      <c r="L69" s="245">
        <f t="shared" si="49"/>
        <v>95183.107752135678</v>
      </c>
      <c r="M69" s="245">
        <f t="shared" si="49"/>
        <v>69170.573645288867</v>
      </c>
      <c r="N69" s="245">
        <f t="shared" si="49"/>
        <v>53010.62481193422</v>
      </c>
      <c r="O69" s="245">
        <f t="shared" si="49"/>
        <v>0</v>
      </c>
      <c r="P69" s="245">
        <f t="shared" si="49"/>
        <v>30000</v>
      </c>
    </row>
    <row r="70" spans="1:16" x14ac:dyDescent="0.2">
      <c r="A70" s="276" t="s">
        <v>487</v>
      </c>
      <c r="B70" s="246">
        <f t="shared" ref="B70:G70" si="50">+B68*0.1</f>
        <v>71129.68072072808</v>
      </c>
      <c r="C70" s="246">
        <f t="shared" si="50"/>
        <v>71435.490392467851</v>
      </c>
      <c r="D70" s="246">
        <f t="shared" si="50"/>
        <v>71927.274889495879</v>
      </c>
      <c r="E70" s="246">
        <f t="shared" si="50"/>
        <v>74488.664312541121</v>
      </c>
      <c r="F70" s="246">
        <f t="shared" si="50"/>
        <v>76121.192920354006</v>
      </c>
      <c r="G70" s="246">
        <f t="shared" si="50"/>
        <v>77791.989380531013</v>
      </c>
      <c r="H70" s="246">
        <f t="shared" ref="H70:I70" si="51">+H68*0.1</f>
        <v>75973.789380530987</v>
      </c>
      <c r="I70" s="246">
        <f t="shared" si="51"/>
        <v>114183.23695567565</v>
      </c>
      <c r="J70" s="246">
        <f t="shared" ref="J70:P70" si="52">+J68*0.1</f>
        <v>69184.389380530978</v>
      </c>
      <c r="K70" s="246">
        <f t="shared" si="52"/>
        <v>69184.389380530891</v>
      </c>
      <c r="L70" s="246">
        <f t="shared" si="52"/>
        <v>128599.03695567552</v>
      </c>
      <c r="M70" s="246">
        <f t="shared" si="52"/>
        <v>76689.157716085334</v>
      </c>
      <c r="N70" s="246">
        <f t="shared" si="52"/>
        <v>100556.28852874838</v>
      </c>
      <c r="O70" s="246">
        <f t="shared" si="52"/>
        <v>0</v>
      </c>
      <c r="P70" s="246">
        <f t="shared" si="52"/>
        <v>30000</v>
      </c>
    </row>
    <row r="71" spans="1:16" x14ac:dyDescent="0.2">
      <c r="A71" s="462"/>
      <c r="B71" s="462"/>
      <c r="C71" s="462"/>
      <c r="D71" s="462"/>
      <c r="E71" s="462"/>
      <c r="F71" s="462"/>
      <c r="G71" s="462"/>
      <c r="H71" s="462"/>
      <c r="I71" s="462"/>
      <c r="J71" s="462"/>
      <c r="K71" s="462"/>
      <c r="L71" s="462"/>
      <c r="M71" s="251"/>
      <c r="N71" s="251"/>
      <c r="O71" s="251"/>
      <c r="P71" s="251"/>
    </row>
    <row r="72" spans="1:16" ht="14.45" customHeight="1" x14ac:dyDescent="0.2">
      <c r="A72" s="463"/>
      <c r="B72" s="463"/>
      <c r="C72" s="463"/>
      <c r="D72" s="463"/>
      <c r="E72" s="463"/>
      <c r="F72" s="463"/>
      <c r="G72" s="463"/>
      <c r="H72" s="463"/>
      <c r="I72" s="463"/>
      <c r="J72" s="463"/>
      <c r="K72" s="463"/>
      <c r="L72" s="463"/>
      <c r="M72" s="463"/>
      <c r="N72" s="463"/>
      <c r="O72" s="463"/>
      <c r="P72" s="463"/>
    </row>
    <row r="73" spans="1:16" x14ac:dyDescent="0.2">
      <c r="A73" s="323" t="s">
        <v>287</v>
      </c>
      <c r="B73" s="323"/>
      <c r="C73" s="323"/>
      <c r="D73" s="323"/>
      <c r="E73" s="323"/>
      <c r="F73" s="323"/>
      <c r="G73" s="323"/>
      <c r="H73" s="323"/>
      <c r="I73" s="323"/>
      <c r="J73" s="323"/>
      <c r="K73" s="323"/>
      <c r="L73" s="323"/>
    </row>
    <row r="74" spans="1:16" ht="12.75" customHeight="1" x14ac:dyDescent="0.2">
      <c r="A74" s="267" t="s">
        <v>527</v>
      </c>
      <c r="B74" s="267"/>
      <c r="C74" s="267"/>
      <c r="D74" s="267"/>
      <c r="E74" s="267"/>
      <c r="F74" s="267"/>
      <c r="G74" s="267"/>
      <c r="H74" s="267"/>
      <c r="I74" s="267"/>
      <c r="J74" s="267"/>
      <c r="K74" s="267"/>
      <c r="L74" s="267"/>
      <c r="M74" s="267"/>
      <c r="N74" s="267"/>
      <c r="O74" s="267"/>
      <c r="P74" s="267"/>
    </row>
    <row r="76" spans="1:16" x14ac:dyDescent="0.2">
      <c r="A76" s="456" t="s">
        <v>263</v>
      </c>
      <c r="B76" s="456">
        <f t="shared" ref="B76:G76" si="53">+B63</f>
        <v>2017</v>
      </c>
      <c r="C76" s="456">
        <f t="shared" si="53"/>
        <v>2016</v>
      </c>
      <c r="D76" s="456">
        <f t="shared" si="53"/>
        <v>2015</v>
      </c>
      <c r="E76" s="456">
        <f t="shared" si="53"/>
        <v>2014</v>
      </c>
      <c r="F76" s="456">
        <f t="shared" si="53"/>
        <v>2013</v>
      </c>
      <c r="G76" s="456">
        <f t="shared" si="53"/>
        <v>2012</v>
      </c>
      <c r="H76" s="456">
        <f t="shared" ref="H76:P76" si="54">+H63</f>
        <v>2011</v>
      </c>
      <c r="I76" s="456">
        <f t="shared" si="54"/>
        <v>2010</v>
      </c>
      <c r="J76" s="456">
        <f t="shared" si="54"/>
        <v>2009</v>
      </c>
      <c r="K76" s="456">
        <f t="shared" si="54"/>
        <v>2008</v>
      </c>
      <c r="L76" s="456">
        <f t="shared" si="54"/>
        <v>2007</v>
      </c>
      <c r="M76" s="456">
        <f t="shared" si="54"/>
        <v>2006</v>
      </c>
      <c r="N76" s="456">
        <f t="shared" si="54"/>
        <v>2005</v>
      </c>
      <c r="O76" s="456">
        <f t="shared" si="54"/>
        <v>2004</v>
      </c>
      <c r="P76" s="456">
        <f t="shared" si="54"/>
        <v>2003</v>
      </c>
    </row>
    <row r="77" spans="1:16" x14ac:dyDescent="0.2">
      <c r="A77" s="320" t="s">
        <v>479</v>
      </c>
      <c r="B77" s="246">
        <v>23000</v>
      </c>
      <c r="C77" s="246">
        <v>23000</v>
      </c>
      <c r="D77" s="246">
        <v>23000</v>
      </c>
      <c r="E77" s="246">
        <v>23000</v>
      </c>
      <c r="F77" s="246">
        <v>23000</v>
      </c>
      <c r="G77" s="246">
        <v>23000</v>
      </c>
      <c r="H77" s="246">
        <v>23000</v>
      </c>
      <c r="I77" s="246">
        <v>23000</v>
      </c>
      <c r="J77" s="246">
        <v>23000</v>
      </c>
      <c r="K77" s="246">
        <v>23000</v>
      </c>
      <c r="L77" s="246">
        <v>23000</v>
      </c>
      <c r="M77" s="246">
        <v>23000</v>
      </c>
      <c r="N77" s="246">
        <v>22000</v>
      </c>
      <c r="O77" s="246">
        <v>21000</v>
      </c>
      <c r="P77" s="246">
        <v>20000</v>
      </c>
    </row>
    <row r="78" spans="1:16" ht="24" x14ac:dyDescent="0.2">
      <c r="A78" s="272" t="s">
        <v>478</v>
      </c>
      <c r="B78" s="246">
        <v>25000</v>
      </c>
      <c r="C78" s="246">
        <v>25000</v>
      </c>
      <c r="D78" s="246">
        <v>25000</v>
      </c>
      <c r="E78" s="246">
        <v>25000</v>
      </c>
      <c r="F78" s="246">
        <v>25000</v>
      </c>
      <c r="G78" s="246">
        <v>25000</v>
      </c>
      <c r="H78" s="246">
        <v>25000</v>
      </c>
      <c r="I78" s="246">
        <v>25000</v>
      </c>
      <c r="J78" s="246">
        <v>25000</v>
      </c>
      <c r="K78" s="246">
        <v>25000</v>
      </c>
      <c r="L78" s="246">
        <v>25000</v>
      </c>
      <c r="M78" s="246">
        <v>25000</v>
      </c>
      <c r="N78" s="246">
        <v>40000</v>
      </c>
      <c r="O78" s="246">
        <v>65000</v>
      </c>
      <c r="P78" s="246">
        <v>50000</v>
      </c>
    </row>
    <row r="79" spans="1:16" ht="24" x14ac:dyDescent="0.2">
      <c r="A79" s="272" t="s">
        <v>477</v>
      </c>
      <c r="B79" s="246">
        <v>75000</v>
      </c>
      <c r="C79" s="246">
        <v>75000</v>
      </c>
      <c r="D79" s="246">
        <v>75000</v>
      </c>
      <c r="E79" s="246">
        <v>75000</v>
      </c>
      <c r="F79" s="246">
        <v>75000</v>
      </c>
      <c r="G79" s="246">
        <v>75000</v>
      </c>
      <c r="H79" s="246">
        <v>75000</v>
      </c>
      <c r="I79" s="246">
        <v>75000</v>
      </c>
      <c r="J79" s="246">
        <v>75000</v>
      </c>
      <c r="K79" s="246">
        <v>75000</v>
      </c>
      <c r="L79" s="246">
        <v>75000</v>
      </c>
      <c r="M79" s="246">
        <v>75000</v>
      </c>
      <c r="N79" s="246">
        <v>60000</v>
      </c>
      <c r="O79" s="246">
        <v>35000</v>
      </c>
      <c r="P79" s="246">
        <v>50000</v>
      </c>
    </row>
    <row r="80" spans="1:16" x14ac:dyDescent="0.2">
      <c r="A80" s="320" t="s">
        <v>476</v>
      </c>
      <c r="B80" s="249">
        <f t="shared" ref="B80:G80" si="55">SUM(B77:B79)</f>
        <v>123000</v>
      </c>
      <c r="C80" s="249">
        <f t="shared" si="55"/>
        <v>123000</v>
      </c>
      <c r="D80" s="249">
        <f t="shared" si="55"/>
        <v>123000</v>
      </c>
      <c r="E80" s="249">
        <f t="shared" si="55"/>
        <v>123000</v>
      </c>
      <c r="F80" s="249">
        <f t="shared" si="55"/>
        <v>123000</v>
      </c>
      <c r="G80" s="249">
        <f t="shared" si="55"/>
        <v>123000</v>
      </c>
      <c r="H80" s="249">
        <f t="shared" ref="H80:I80" si="56">SUM(H77:H79)</f>
        <v>123000</v>
      </c>
      <c r="I80" s="249">
        <f t="shared" si="56"/>
        <v>123000</v>
      </c>
      <c r="J80" s="249">
        <f t="shared" ref="J80:P80" si="57">SUM(J77:J79)</f>
        <v>123000</v>
      </c>
      <c r="K80" s="249">
        <f t="shared" si="57"/>
        <v>123000</v>
      </c>
      <c r="L80" s="249">
        <f t="shared" si="57"/>
        <v>123000</v>
      </c>
      <c r="M80" s="249">
        <f t="shared" si="57"/>
        <v>123000</v>
      </c>
      <c r="N80" s="249">
        <f t="shared" si="57"/>
        <v>122000</v>
      </c>
      <c r="O80" s="249">
        <f t="shared" si="57"/>
        <v>121000</v>
      </c>
      <c r="P80" s="249">
        <f t="shared" si="57"/>
        <v>120000</v>
      </c>
    </row>
    <row r="82" spans="1:16" x14ac:dyDescent="0.2">
      <c r="A82" s="464" t="s">
        <v>403</v>
      </c>
      <c r="B82" s="464"/>
      <c r="C82" s="464"/>
      <c r="D82" s="464"/>
      <c r="E82" s="464"/>
      <c r="F82" s="464"/>
      <c r="G82" s="464"/>
      <c r="H82" s="464"/>
      <c r="I82" s="464"/>
      <c r="J82" s="464"/>
      <c r="K82" s="464"/>
      <c r="L82" s="464"/>
      <c r="M82" s="464"/>
      <c r="N82" s="464"/>
      <c r="O82" s="464"/>
      <c r="P82" s="464"/>
    </row>
    <row r="83" spans="1:16" ht="26.25" customHeight="1" x14ac:dyDescent="0.2">
      <c r="A83" s="464" t="s">
        <v>856</v>
      </c>
      <c r="B83" s="465"/>
      <c r="C83" s="465"/>
      <c r="D83" s="465"/>
      <c r="E83" s="465"/>
      <c r="F83" s="465"/>
      <c r="G83" s="465"/>
      <c r="H83" s="465"/>
      <c r="I83" s="465"/>
      <c r="J83" s="465"/>
      <c r="K83" s="465"/>
      <c r="L83" s="465"/>
      <c r="M83" s="465"/>
      <c r="N83" s="465"/>
      <c r="O83" s="465"/>
      <c r="P83" s="465"/>
    </row>
    <row r="85" spans="1:16" x14ac:dyDescent="0.2">
      <c r="A85" s="323" t="s">
        <v>519</v>
      </c>
      <c r="B85" s="323"/>
      <c r="C85" s="323"/>
      <c r="D85" s="323"/>
      <c r="E85" s="323"/>
      <c r="F85" s="323"/>
      <c r="G85" s="323"/>
      <c r="H85" s="323"/>
      <c r="I85" s="323"/>
      <c r="J85" s="323"/>
      <c r="K85" s="323"/>
      <c r="L85" s="323"/>
    </row>
    <row r="86" spans="1:16" ht="12.75" customHeight="1" x14ac:dyDescent="0.2">
      <c r="A86" s="464" t="s">
        <v>526</v>
      </c>
      <c r="B86" s="267"/>
      <c r="C86" s="267"/>
      <c r="D86" s="267"/>
      <c r="E86" s="267"/>
      <c r="F86" s="267"/>
      <c r="G86" s="267"/>
      <c r="H86" s="267"/>
      <c r="I86" s="267"/>
      <c r="J86" s="267"/>
      <c r="K86" s="267"/>
      <c r="L86" s="267"/>
      <c r="M86" s="267"/>
      <c r="N86" s="267"/>
      <c r="O86" s="267"/>
      <c r="P86" s="267"/>
    </row>
    <row r="87" spans="1:16" ht="12.75" customHeight="1" x14ac:dyDescent="0.2">
      <c r="A87" s="464" t="s">
        <v>529</v>
      </c>
      <c r="B87" s="267"/>
      <c r="C87" s="267"/>
      <c r="D87" s="267"/>
      <c r="E87" s="267"/>
      <c r="F87" s="267"/>
      <c r="G87" s="267"/>
      <c r="H87" s="267"/>
      <c r="I87" s="267"/>
      <c r="J87" s="267"/>
      <c r="K87" s="267"/>
      <c r="L87" s="267"/>
      <c r="M87" s="267"/>
      <c r="N87" s="267"/>
      <c r="O87" s="267"/>
      <c r="P87" s="267"/>
    </row>
    <row r="88" spans="1:16" x14ac:dyDescent="0.2">
      <c r="A88" s="466"/>
      <c r="B88" s="466"/>
      <c r="C88" s="466"/>
      <c r="D88" s="466"/>
      <c r="E88" s="466"/>
      <c r="F88" s="466"/>
      <c r="G88" s="466"/>
      <c r="H88" s="466"/>
      <c r="I88" s="466"/>
      <c r="J88" s="466"/>
      <c r="K88" s="466"/>
      <c r="L88" s="466"/>
      <c r="M88" s="466"/>
      <c r="N88" s="466"/>
      <c r="O88" s="466"/>
      <c r="P88" s="466"/>
    </row>
    <row r="89" spans="1:16" x14ac:dyDescent="0.2">
      <c r="A89" s="456" t="s">
        <v>263</v>
      </c>
      <c r="B89" s="456">
        <f t="shared" ref="B89:G89" si="58">+B76</f>
        <v>2017</v>
      </c>
      <c r="C89" s="456">
        <f t="shared" si="58"/>
        <v>2016</v>
      </c>
      <c r="D89" s="456">
        <f t="shared" si="58"/>
        <v>2015</v>
      </c>
      <c r="E89" s="456">
        <f t="shared" si="58"/>
        <v>2014</v>
      </c>
      <c r="F89" s="456">
        <f t="shared" si="58"/>
        <v>2013</v>
      </c>
      <c r="G89" s="456">
        <f t="shared" si="58"/>
        <v>2012</v>
      </c>
      <c r="H89" s="456">
        <f t="shared" ref="H89:P89" si="59">+H76</f>
        <v>2011</v>
      </c>
      <c r="I89" s="456">
        <f t="shared" si="59"/>
        <v>2010</v>
      </c>
      <c r="J89" s="456">
        <f t="shared" si="59"/>
        <v>2009</v>
      </c>
      <c r="K89" s="456">
        <f t="shared" si="59"/>
        <v>2008</v>
      </c>
      <c r="L89" s="456">
        <f t="shared" si="59"/>
        <v>2007</v>
      </c>
      <c r="M89" s="456">
        <f t="shared" si="59"/>
        <v>2006</v>
      </c>
      <c r="N89" s="456">
        <f t="shared" si="59"/>
        <v>2005</v>
      </c>
      <c r="O89" s="456">
        <f t="shared" si="59"/>
        <v>2004</v>
      </c>
      <c r="P89" s="456">
        <f t="shared" si="59"/>
        <v>2003</v>
      </c>
    </row>
    <row r="90" spans="1:16" x14ac:dyDescent="0.2">
      <c r="A90" s="320" t="s">
        <v>475</v>
      </c>
      <c r="B90" s="246">
        <v>157000</v>
      </c>
      <c r="C90" s="246">
        <v>157000</v>
      </c>
      <c r="D90" s="246">
        <v>157000</v>
      </c>
      <c r="E90" s="246">
        <v>157000</v>
      </c>
      <c r="F90" s="246">
        <v>157000</v>
      </c>
      <c r="G90" s="246">
        <v>157000</v>
      </c>
      <c r="H90" s="246">
        <v>157000</v>
      </c>
      <c r="I90" s="246">
        <v>157000</v>
      </c>
      <c r="J90" s="246">
        <v>157000</v>
      </c>
      <c r="K90" s="246">
        <v>157000</v>
      </c>
      <c r="L90" s="246">
        <v>157000</v>
      </c>
      <c r="M90" s="246">
        <v>157000</v>
      </c>
      <c r="N90" s="246">
        <v>156000</v>
      </c>
      <c r="O90" s="246">
        <v>155000</v>
      </c>
      <c r="P90" s="246">
        <v>154000</v>
      </c>
    </row>
    <row r="91" spans="1:16" ht="24" x14ac:dyDescent="0.2">
      <c r="A91" s="272" t="s">
        <v>474</v>
      </c>
      <c r="B91" s="246">
        <v>51000</v>
      </c>
      <c r="C91" s="246">
        <v>51000</v>
      </c>
      <c r="D91" s="246">
        <v>51000</v>
      </c>
      <c r="E91" s="246">
        <v>51000</v>
      </c>
      <c r="F91" s="246">
        <v>51000</v>
      </c>
      <c r="G91" s="246">
        <v>51000</v>
      </c>
      <c r="H91" s="246">
        <v>51000</v>
      </c>
      <c r="I91" s="246">
        <v>51000</v>
      </c>
      <c r="J91" s="246">
        <v>51000</v>
      </c>
      <c r="K91" s="246">
        <v>51000</v>
      </c>
      <c r="L91" s="246">
        <v>51000</v>
      </c>
      <c r="M91" s="246">
        <v>51000</v>
      </c>
      <c r="N91" s="246">
        <v>50000</v>
      </c>
      <c r="O91" s="246">
        <v>49000</v>
      </c>
      <c r="P91" s="246">
        <v>48000</v>
      </c>
    </row>
    <row r="92" spans="1:16" ht="24" x14ac:dyDescent="0.2">
      <c r="A92" s="272" t="s">
        <v>472</v>
      </c>
      <c r="B92" s="195">
        <v>88000</v>
      </c>
      <c r="C92" s="195">
        <v>88000</v>
      </c>
      <c r="D92" s="195">
        <v>88000</v>
      </c>
      <c r="E92" s="195">
        <v>88000</v>
      </c>
      <c r="F92" s="195">
        <v>88000</v>
      </c>
      <c r="G92" s="195">
        <v>88000</v>
      </c>
      <c r="H92" s="195">
        <v>88000</v>
      </c>
      <c r="I92" s="195">
        <v>88000</v>
      </c>
      <c r="J92" s="195">
        <v>88000</v>
      </c>
      <c r="K92" s="195">
        <v>88000</v>
      </c>
      <c r="L92" s="195">
        <v>88000</v>
      </c>
      <c r="M92" s="195">
        <v>88000</v>
      </c>
      <c r="N92" s="195">
        <v>60000</v>
      </c>
      <c r="O92" s="195">
        <v>71000</v>
      </c>
      <c r="P92" s="195">
        <v>56000</v>
      </c>
    </row>
    <row r="93" spans="1:16" x14ac:dyDescent="0.2">
      <c r="A93" s="320" t="s">
        <v>473</v>
      </c>
      <c r="B93" s="249">
        <f t="shared" ref="B93:G93" si="60">SUM(B90:B92)</f>
        <v>296000</v>
      </c>
      <c r="C93" s="249">
        <f t="shared" si="60"/>
        <v>296000</v>
      </c>
      <c r="D93" s="249">
        <f t="shared" si="60"/>
        <v>296000</v>
      </c>
      <c r="E93" s="249">
        <f t="shared" si="60"/>
        <v>296000</v>
      </c>
      <c r="F93" s="249">
        <f t="shared" si="60"/>
        <v>296000</v>
      </c>
      <c r="G93" s="249">
        <f t="shared" si="60"/>
        <v>296000</v>
      </c>
      <c r="H93" s="249">
        <f t="shared" ref="H93:I93" si="61">SUM(H90:H92)</f>
        <v>296000</v>
      </c>
      <c r="I93" s="249">
        <f t="shared" si="61"/>
        <v>296000</v>
      </c>
      <c r="J93" s="249">
        <f t="shared" ref="J93:P93" si="62">SUM(J90:J92)</f>
        <v>296000</v>
      </c>
      <c r="K93" s="249">
        <f t="shared" si="62"/>
        <v>296000</v>
      </c>
      <c r="L93" s="249">
        <f t="shared" si="62"/>
        <v>296000</v>
      </c>
      <c r="M93" s="249">
        <f t="shared" si="62"/>
        <v>296000</v>
      </c>
      <c r="N93" s="249">
        <f t="shared" si="62"/>
        <v>266000</v>
      </c>
      <c r="O93" s="249">
        <f t="shared" si="62"/>
        <v>275000</v>
      </c>
      <c r="P93" s="249">
        <f t="shared" si="62"/>
        <v>258000</v>
      </c>
    </row>
    <row r="94" spans="1:16" ht="24" x14ac:dyDescent="0.2">
      <c r="A94" s="272" t="s">
        <v>75</v>
      </c>
      <c r="B94" s="249">
        <v>389000</v>
      </c>
      <c r="C94" s="249">
        <v>389000</v>
      </c>
      <c r="D94" s="249">
        <v>389000</v>
      </c>
      <c r="E94" s="249">
        <v>389000</v>
      </c>
      <c r="F94" s="249">
        <v>389000</v>
      </c>
      <c r="G94" s="249">
        <v>389000</v>
      </c>
      <c r="H94" s="249">
        <v>389000</v>
      </c>
      <c r="I94" s="249">
        <v>389000</v>
      </c>
      <c r="J94" s="249">
        <v>389000</v>
      </c>
      <c r="K94" s="249">
        <v>389000</v>
      </c>
      <c r="L94" s="249">
        <v>389000</v>
      </c>
      <c r="M94" s="249">
        <v>388000</v>
      </c>
      <c r="N94" s="249">
        <v>376000</v>
      </c>
      <c r="O94" s="249">
        <f>328000+112000-15231</f>
        <v>424769</v>
      </c>
      <c r="P94" s="249">
        <v>311000</v>
      </c>
    </row>
    <row r="95" spans="1:16" x14ac:dyDescent="0.2">
      <c r="M95" s="251"/>
    </row>
    <row r="96" spans="1:16" x14ac:dyDescent="0.2">
      <c r="A96" s="323" t="s">
        <v>288</v>
      </c>
      <c r="B96" s="323"/>
      <c r="C96" s="323"/>
      <c r="D96" s="323"/>
      <c r="E96" s="323"/>
      <c r="F96" s="323"/>
      <c r="G96" s="323"/>
      <c r="H96" s="323"/>
      <c r="I96" s="323"/>
      <c r="J96" s="323"/>
      <c r="K96" s="323"/>
      <c r="L96" s="323"/>
    </row>
    <row r="98" spans="1:16" x14ac:dyDescent="0.2">
      <c r="A98" s="456" t="s">
        <v>263</v>
      </c>
      <c r="B98" s="456">
        <f t="shared" ref="B98:G98" si="63">+B89</f>
        <v>2017</v>
      </c>
      <c r="C98" s="456">
        <f t="shared" si="63"/>
        <v>2016</v>
      </c>
      <c r="D98" s="456">
        <f t="shared" si="63"/>
        <v>2015</v>
      </c>
      <c r="E98" s="456">
        <f t="shared" si="63"/>
        <v>2014</v>
      </c>
      <c r="F98" s="456">
        <f t="shared" si="63"/>
        <v>2013</v>
      </c>
      <c r="G98" s="456">
        <f t="shared" si="63"/>
        <v>2012</v>
      </c>
      <c r="H98" s="456">
        <f t="shared" ref="H98:I98" si="64">+H89</f>
        <v>2011</v>
      </c>
      <c r="I98" s="456">
        <f t="shared" si="64"/>
        <v>2010</v>
      </c>
      <c r="J98" s="456">
        <v>2009</v>
      </c>
      <c r="K98" s="456">
        <v>2008</v>
      </c>
      <c r="L98" s="456">
        <v>2007</v>
      </c>
      <c r="M98" s="456">
        <v>2006</v>
      </c>
      <c r="N98" s="456">
        <v>2005</v>
      </c>
      <c r="O98" s="456">
        <v>2004</v>
      </c>
      <c r="P98" s="456">
        <v>2003</v>
      </c>
    </row>
    <row r="99" spans="1:16" x14ac:dyDescent="0.2">
      <c r="A99" s="320" t="s">
        <v>289</v>
      </c>
      <c r="B99" s="246">
        <v>2355000</v>
      </c>
      <c r="C99" s="246">
        <v>2355000</v>
      </c>
      <c r="D99" s="246">
        <v>2355000</v>
      </c>
      <c r="E99" s="246">
        <v>2355000</v>
      </c>
      <c r="F99" s="246">
        <v>2355000</v>
      </c>
      <c r="G99" s="246">
        <v>2355000</v>
      </c>
      <c r="H99" s="246">
        <v>2355000</v>
      </c>
      <c r="I99" s="246">
        <v>2355000</v>
      </c>
      <c r="J99" s="246">
        <v>2355000</v>
      </c>
      <c r="K99" s="246">
        <v>2355000</v>
      </c>
      <c r="L99" s="246">
        <v>2355000</v>
      </c>
      <c r="M99" s="246">
        <v>2355000</v>
      </c>
      <c r="N99" s="246">
        <v>2355000</v>
      </c>
      <c r="O99" s="246">
        <v>2355000</v>
      </c>
      <c r="P99" s="246">
        <v>2355000</v>
      </c>
    </row>
    <row r="100" spans="1:16" x14ac:dyDescent="0.2">
      <c r="A100" s="325" t="s">
        <v>290</v>
      </c>
      <c r="B100" s="246">
        <v>1955000</v>
      </c>
      <c r="C100" s="246">
        <v>1955000</v>
      </c>
      <c r="D100" s="246">
        <v>1955000</v>
      </c>
      <c r="E100" s="246">
        <v>1955000</v>
      </c>
      <c r="F100" s="246">
        <v>1955000</v>
      </c>
      <c r="G100" s="246">
        <v>1955000</v>
      </c>
      <c r="H100" s="246">
        <v>1955000</v>
      </c>
      <c r="I100" s="246">
        <v>1955000</v>
      </c>
      <c r="J100" s="246">
        <v>1955000</v>
      </c>
      <c r="K100" s="246">
        <v>1955000</v>
      </c>
      <c r="L100" s="246">
        <v>1955000</v>
      </c>
      <c r="M100" s="246">
        <v>1955000</v>
      </c>
      <c r="N100" s="246">
        <v>888500</v>
      </c>
      <c r="O100" s="246">
        <v>3155204</v>
      </c>
      <c r="P100" s="246">
        <v>1222200</v>
      </c>
    </row>
    <row r="101" spans="1:16" x14ac:dyDescent="0.2">
      <c r="A101" s="325" t="s">
        <v>291</v>
      </c>
      <c r="B101" s="246">
        <f t="shared" ref="B101:G101" si="65">+B99-B100</f>
        <v>400000</v>
      </c>
      <c r="C101" s="246">
        <f t="shared" si="65"/>
        <v>400000</v>
      </c>
      <c r="D101" s="246">
        <f t="shared" si="65"/>
        <v>400000</v>
      </c>
      <c r="E101" s="246">
        <f t="shared" si="65"/>
        <v>400000</v>
      </c>
      <c r="F101" s="246">
        <f t="shared" si="65"/>
        <v>400000</v>
      </c>
      <c r="G101" s="246">
        <f t="shared" si="65"/>
        <v>400000</v>
      </c>
      <c r="H101" s="246">
        <f t="shared" ref="H101:I101" si="66">+H99-H100</f>
        <v>400000</v>
      </c>
      <c r="I101" s="246">
        <f t="shared" si="66"/>
        <v>400000</v>
      </c>
      <c r="J101" s="246">
        <f t="shared" ref="J101:P101" si="67">+J99-J100</f>
        <v>400000</v>
      </c>
      <c r="K101" s="246">
        <f t="shared" si="67"/>
        <v>400000</v>
      </c>
      <c r="L101" s="246">
        <f t="shared" si="67"/>
        <v>400000</v>
      </c>
      <c r="M101" s="246">
        <f t="shared" si="67"/>
        <v>400000</v>
      </c>
      <c r="N101" s="246">
        <f t="shared" si="67"/>
        <v>1466500</v>
      </c>
      <c r="O101" s="246">
        <f t="shared" si="67"/>
        <v>-800204</v>
      </c>
      <c r="P101" s="246">
        <f t="shared" si="67"/>
        <v>1132800</v>
      </c>
    </row>
    <row r="102" spans="1:16" x14ac:dyDescent="0.2">
      <c r="A102" s="467" t="s">
        <v>292</v>
      </c>
      <c r="B102" s="468">
        <v>130.81299999999999</v>
      </c>
      <c r="C102" s="468">
        <v>122.515</v>
      </c>
      <c r="D102" s="468">
        <v>118.532</v>
      </c>
      <c r="E102" s="468">
        <v>116.059</v>
      </c>
      <c r="F102" s="524">
        <v>111.508</v>
      </c>
      <c r="G102" s="468">
        <v>111.508</v>
      </c>
      <c r="H102" s="468">
        <v>111.508</v>
      </c>
      <c r="I102" s="468">
        <v>111.508</v>
      </c>
      <c r="J102" s="468">
        <v>111.508</v>
      </c>
      <c r="K102" s="468">
        <v>111.508</v>
      </c>
      <c r="L102" s="468">
        <v>111.508</v>
      </c>
      <c r="M102" s="468">
        <v>111.508</v>
      </c>
      <c r="N102" s="468">
        <v>111.508</v>
      </c>
      <c r="O102" s="468">
        <v>111.508</v>
      </c>
      <c r="P102" s="468">
        <v>111.508</v>
      </c>
    </row>
    <row r="103" spans="1:16" x14ac:dyDescent="0.2">
      <c r="A103" s="467" t="s">
        <v>293</v>
      </c>
      <c r="B103" s="468">
        <f>+C102</f>
        <v>122.515</v>
      </c>
      <c r="C103" s="468">
        <f t="shared" ref="C103:O103" si="68">+D102</f>
        <v>118.532</v>
      </c>
      <c r="D103" s="468">
        <f t="shared" si="68"/>
        <v>116.059</v>
      </c>
      <c r="E103" s="468">
        <f t="shared" si="68"/>
        <v>111.508</v>
      </c>
      <c r="F103" s="468">
        <f t="shared" si="68"/>
        <v>111.508</v>
      </c>
      <c r="G103" s="468">
        <f t="shared" si="68"/>
        <v>111.508</v>
      </c>
      <c r="H103" s="468">
        <f t="shared" si="68"/>
        <v>111.508</v>
      </c>
      <c r="I103" s="468">
        <f t="shared" si="68"/>
        <v>111.508</v>
      </c>
      <c r="J103" s="468">
        <f t="shared" si="68"/>
        <v>111.508</v>
      </c>
      <c r="K103" s="468">
        <f t="shared" si="68"/>
        <v>111.508</v>
      </c>
      <c r="L103" s="468">
        <f t="shared" si="68"/>
        <v>111.508</v>
      </c>
      <c r="M103" s="468">
        <f t="shared" si="68"/>
        <v>111.508</v>
      </c>
      <c r="N103" s="468">
        <f t="shared" si="68"/>
        <v>111.508</v>
      </c>
      <c r="O103" s="468">
        <f t="shared" si="68"/>
        <v>111.508</v>
      </c>
      <c r="P103" s="468"/>
    </row>
    <row r="104" spans="1:16" ht="12.75" thickBot="1" x14ac:dyDescent="0.25">
      <c r="A104" s="469" t="s">
        <v>294</v>
      </c>
      <c r="B104" s="470">
        <f t="shared" ref="B104:G104" si="69">+B102/B103-1</f>
        <v>6.7730481981798096E-2</v>
      </c>
      <c r="C104" s="470">
        <f t="shared" si="69"/>
        <v>3.360274018830367E-2</v>
      </c>
      <c r="D104" s="470">
        <f t="shared" si="69"/>
        <v>2.130812776260349E-2</v>
      </c>
      <c r="E104" s="470">
        <f t="shared" si="69"/>
        <v>4.0813215195322439E-2</v>
      </c>
      <c r="F104" s="470">
        <f t="shared" si="69"/>
        <v>0</v>
      </c>
      <c r="G104" s="470">
        <f t="shared" si="69"/>
        <v>0</v>
      </c>
      <c r="H104" s="470">
        <f t="shared" ref="H104:I104" si="70">+H102/H103-1</f>
        <v>0</v>
      </c>
      <c r="I104" s="470">
        <f t="shared" si="70"/>
        <v>0</v>
      </c>
      <c r="J104" s="470">
        <f t="shared" ref="J104:P104" si="71">+J102/J103-1</f>
        <v>0</v>
      </c>
      <c r="K104" s="470">
        <f t="shared" si="71"/>
        <v>0</v>
      </c>
      <c r="L104" s="470">
        <f t="shared" si="71"/>
        <v>0</v>
      </c>
      <c r="M104" s="470">
        <f t="shared" si="71"/>
        <v>0</v>
      </c>
      <c r="N104" s="470">
        <f t="shared" si="71"/>
        <v>0</v>
      </c>
      <c r="O104" s="470">
        <f t="shared" si="71"/>
        <v>0</v>
      </c>
      <c r="P104" s="470" t="e">
        <f t="shared" si="71"/>
        <v>#DIV/0!</v>
      </c>
    </row>
    <row r="105" spans="1:16" x14ac:dyDescent="0.2">
      <c r="A105" s="471" t="s">
        <v>295</v>
      </c>
      <c r="B105" s="472">
        <f t="shared" ref="B105:G105" si="72">+B101*B104</f>
        <v>27092.192792719237</v>
      </c>
      <c r="C105" s="472">
        <f t="shared" si="72"/>
        <v>13441.096075321468</v>
      </c>
      <c r="D105" s="472">
        <f t="shared" si="72"/>
        <v>8523.2511050413959</v>
      </c>
      <c r="E105" s="472">
        <f t="shared" si="72"/>
        <v>16325.286078128975</v>
      </c>
      <c r="F105" s="472">
        <f t="shared" si="72"/>
        <v>0</v>
      </c>
      <c r="G105" s="472">
        <f t="shared" si="72"/>
        <v>0</v>
      </c>
      <c r="H105" s="472">
        <f t="shared" ref="H105:I105" si="73">+H101*H104</f>
        <v>0</v>
      </c>
      <c r="I105" s="472">
        <f t="shared" si="73"/>
        <v>0</v>
      </c>
      <c r="J105" s="472">
        <f>+J101*J104</f>
        <v>0</v>
      </c>
      <c r="K105" s="472">
        <f>+K101*K104</f>
        <v>0</v>
      </c>
      <c r="L105" s="472">
        <f>+L101*L104</f>
        <v>0</v>
      </c>
      <c r="M105" s="472">
        <f>+M101*M104</f>
        <v>0</v>
      </c>
      <c r="N105" s="472">
        <f>+N101*N104</f>
        <v>0</v>
      </c>
      <c r="O105" s="472"/>
      <c r="P105" s="473"/>
    </row>
    <row r="106" spans="1:16" ht="12.75" thickBot="1" x14ac:dyDescent="0.25">
      <c r="A106" s="474" t="s">
        <v>92</v>
      </c>
      <c r="B106" s="475"/>
      <c r="C106" s="475"/>
      <c r="D106" s="475"/>
      <c r="E106" s="475"/>
      <c r="F106" s="475"/>
      <c r="G106" s="475"/>
      <c r="H106" s="475"/>
      <c r="I106" s="475"/>
      <c r="J106" s="248"/>
      <c r="K106" s="248"/>
      <c r="L106" s="248"/>
      <c r="M106" s="248"/>
      <c r="N106" s="248"/>
      <c r="O106" s="248">
        <f>-O101*O104</f>
        <v>0</v>
      </c>
      <c r="P106" s="476"/>
    </row>
  </sheetData>
  <mergeCells count="1">
    <mergeCell ref="A22:P22"/>
  </mergeCells>
  <phoneticPr fontId="0" type="noConversion"/>
  <pageMargins left="0.59055118110236227" right="0.59055118110236227" top="0.59055118110236227" bottom="0.59055118110236227" header="0" footer="0"/>
  <pageSetup orientation="portrait" r:id="rId1"/>
  <headerFooter alignWithMargins="0">
    <oddHeader>&amp;R&amp;F
&amp;D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4"/>
  <sheetViews>
    <sheetView topLeftCell="A10" zoomScale="160" zoomScaleNormal="160" workbookViewId="0">
      <selection activeCell="B5" sqref="B5"/>
    </sheetView>
  </sheetViews>
  <sheetFormatPr baseColWidth="10" defaultRowHeight="12.75" x14ac:dyDescent="0.2"/>
  <cols>
    <col min="1" max="1" width="3" style="479" customWidth="1"/>
    <col min="2" max="2" width="18.5703125" style="479" customWidth="1"/>
    <col min="3" max="3" width="10.140625" style="479" customWidth="1"/>
    <col min="4" max="4" width="10.28515625" style="479" customWidth="1"/>
    <col min="5" max="5" width="10.42578125" style="479" customWidth="1"/>
    <col min="6" max="16384" width="11.42578125" style="479"/>
  </cols>
  <sheetData>
    <row r="3" spans="2:8" x14ac:dyDescent="0.2">
      <c r="B3" s="478" t="s">
        <v>829</v>
      </c>
    </row>
    <row r="4" spans="2:8" x14ac:dyDescent="0.2">
      <c r="B4" s="480" t="s">
        <v>830</v>
      </c>
      <c r="C4" s="480">
        <v>2014</v>
      </c>
      <c r="D4" s="480">
        <v>2015</v>
      </c>
      <c r="E4" s="480">
        <v>2016</v>
      </c>
      <c r="F4" s="480">
        <v>2017</v>
      </c>
      <c r="G4" s="480">
        <v>2017</v>
      </c>
      <c r="H4" s="480">
        <v>2018</v>
      </c>
    </row>
    <row r="5" spans="2:8" ht="25.5" x14ac:dyDescent="0.2">
      <c r="B5" s="481" t="s">
        <v>831</v>
      </c>
      <c r="C5" s="482">
        <v>67.290000000000006</v>
      </c>
      <c r="D5" s="482">
        <v>70.099999999999994</v>
      </c>
      <c r="E5" s="482">
        <v>73.040000000000006</v>
      </c>
      <c r="F5" s="482" t="s">
        <v>832</v>
      </c>
      <c r="G5" s="482" t="s">
        <v>833</v>
      </c>
      <c r="H5" s="482" t="s">
        <v>834</v>
      </c>
    </row>
    <row r="6" spans="2:8" x14ac:dyDescent="0.2">
      <c r="B6" s="481" t="s">
        <v>835</v>
      </c>
      <c r="C6" s="483"/>
      <c r="D6" s="483"/>
      <c r="E6" s="482">
        <v>73.040000000000006</v>
      </c>
      <c r="F6" s="482" t="s">
        <v>836</v>
      </c>
      <c r="G6" s="482" t="str">
        <f>+F6</f>
        <v>(1) $75.49</v>
      </c>
      <c r="H6" s="482" t="s">
        <v>837</v>
      </c>
    </row>
    <row r="7" spans="2:8" x14ac:dyDescent="0.2">
      <c r="B7" s="479" t="s">
        <v>838</v>
      </c>
    </row>
    <row r="8" spans="2:8" x14ac:dyDescent="0.2">
      <c r="B8" s="479" t="s">
        <v>839</v>
      </c>
    </row>
    <row r="9" spans="2:8" x14ac:dyDescent="0.2">
      <c r="B9" s="479" t="s">
        <v>840</v>
      </c>
    </row>
    <row r="11" spans="2:8" x14ac:dyDescent="0.2">
      <c r="B11" s="478" t="s">
        <v>841</v>
      </c>
    </row>
    <row r="12" spans="2:8" x14ac:dyDescent="0.2">
      <c r="B12" s="480" t="s">
        <v>830</v>
      </c>
      <c r="C12" s="480">
        <v>2014</v>
      </c>
      <c r="D12" s="480">
        <v>2015</v>
      </c>
      <c r="E12" s="480">
        <v>2016</v>
      </c>
      <c r="F12" s="480">
        <v>2017</v>
      </c>
      <c r="G12" s="480">
        <v>2018</v>
      </c>
    </row>
    <row r="13" spans="2:8" x14ac:dyDescent="0.2">
      <c r="B13" s="481" t="s">
        <v>842</v>
      </c>
      <c r="C13" s="484">
        <v>1.1299999999999999E-2</v>
      </c>
      <c r="D13" s="484">
        <v>1.1299999999999999E-2</v>
      </c>
      <c r="E13" s="484">
        <v>1.1299999999999999E-2</v>
      </c>
      <c r="F13" s="484">
        <v>1.1299999999999999E-2</v>
      </c>
      <c r="G13" s="485">
        <v>1.47E-2</v>
      </c>
    </row>
    <row r="14" spans="2:8" x14ac:dyDescent="0.2">
      <c r="B14" s="481" t="s">
        <v>843</v>
      </c>
      <c r="C14" s="486">
        <v>116.059</v>
      </c>
      <c r="D14" s="486">
        <v>118.532</v>
      </c>
      <c r="E14" s="487">
        <v>122.515</v>
      </c>
      <c r="F14" s="487">
        <v>130.81299999999999</v>
      </c>
      <c r="G14" s="487"/>
    </row>
    <row r="15" spans="2:8" x14ac:dyDescent="0.2">
      <c r="B15" s="488" t="s">
        <v>844</v>
      </c>
      <c r="C15" s="489">
        <f>(+C14/111.508)-1</f>
        <v>4.0813215195322439E-2</v>
      </c>
      <c r="D15" s="489">
        <f>+D14/C14-1</f>
        <v>2.130812776260349E-2</v>
      </c>
      <c r="E15" s="489">
        <f t="shared" ref="E15:F15" si="0">+E14/D14-1</f>
        <v>3.360274018830367E-2</v>
      </c>
      <c r="F15" s="489">
        <f t="shared" si="0"/>
        <v>6.7730481981798096E-2</v>
      </c>
      <c r="G15" s="489"/>
    </row>
    <row r="16" spans="2:8" x14ac:dyDescent="0.2">
      <c r="B16" s="488" t="s">
        <v>845</v>
      </c>
      <c r="C16" s="490">
        <v>14.718</v>
      </c>
      <c r="D16" s="490">
        <v>17.206499999999998</v>
      </c>
      <c r="E16" s="490">
        <v>20.664000000000001</v>
      </c>
      <c r="F16" s="490">
        <v>19.735399999999998</v>
      </c>
      <c r="G16" s="490"/>
    </row>
    <row r="17" spans="2:7" x14ac:dyDescent="0.2">
      <c r="B17" s="488" t="s">
        <v>846</v>
      </c>
      <c r="C17" s="490">
        <v>14.741400000000001</v>
      </c>
      <c r="D17" s="490">
        <v>17.248699999999999</v>
      </c>
      <c r="E17" s="490">
        <v>20.619399999999999</v>
      </c>
      <c r="F17" s="490">
        <v>19.6629</v>
      </c>
      <c r="G17" s="490"/>
    </row>
    <row r="18" spans="2:7" x14ac:dyDescent="0.2">
      <c r="B18" s="479" t="s">
        <v>847</v>
      </c>
    </row>
    <row r="19" spans="2:7" x14ac:dyDescent="0.2">
      <c r="B19" s="491" t="s">
        <v>848</v>
      </c>
    </row>
    <row r="20" spans="2:7" x14ac:dyDescent="0.2">
      <c r="B20" s="479" t="s">
        <v>857</v>
      </c>
    </row>
    <row r="21" spans="2:7" x14ac:dyDescent="0.2">
      <c r="B21" s="479" t="s">
        <v>858</v>
      </c>
    </row>
    <row r="22" spans="2:7" x14ac:dyDescent="0.2">
      <c r="B22" s="479" t="s">
        <v>849</v>
      </c>
    </row>
    <row r="23" spans="2:7" x14ac:dyDescent="0.2">
      <c r="B23" s="479" t="s">
        <v>850</v>
      </c>
      <c r="D23" s="492">
        <v>7.4999999999999997E-3</v>
      </c>
      <c r="E23" s="479">
        <v>1.5</v>
      </c>
      <c r="F23" s="492">
        <f>+D23*E23</f>
        <v>1.125E-2</v>
      </c>
    </row>
    <row r="24" spans="2:7" x14ac:dyDescent="0.2">
      <c r="B24" s="479" t="s">
        <v>851</v>
      </c>
      <c r="D24" s="492">
        <v>9.7999999999999997E-3</v>
      </c>
      <c r="E24" s="479">
        <v>1.5</v>
      </c>
      <c r="F24" s="492">
        <f>+D24*E24</f>
        <v>1.47E-2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opLeftCell="A49" zoomScale="122" workbookViewId="0"/>
  </sheetViews>
  <sheetFormatPr baseColWidth="10" defaultRowHeight="12" x14ac:dyDescent="0.2"/>
  <cols>
    <col min="1" max="1" width="29" style="144" customWidth="1"/>
    <col min="2" max="2" width="12.7109375" style="144" customWidth="1"/>
    <col min="3" max="3" width="12" style="144" customWidth="1"/>
    <col min="4" max="4" width="12.5703125" style="144" customWidth="1"/>
    <col min="5" max="5" width="11.5703125" style="144" customWidth="1"/>
    <col min="6" max="6" width="13.7109375" style="144" customWidth="1"/>
    <col min="7" max="7" width="13.140625" style="144" customWidth="1"/>
    <col min="8" max="8" width="11.85546875" style="144" customWidth="1"/>
    <col min="9" max="9" width="13.140625" style="144" customWidth="1"/>
    <col min="10" max="10" width="12.85546875" style="144" customWidth="1"/>
    <col min="11" max="11" width="12.28515625" style="144" customWidth="1"/>
    <col min="12" max="12" width="11.85546875" style="144" customWidth="1"/>
    <col min="13" max="13" width="12.42578125" style="144" customWidth="1"/>
    <col min="14" max="14" width="11.7109375" style="144" customWidth="1"/>
    <col min="15" max="15" width="13" style="240" customWidth="1"/>
    <col min="16" max="16" width="13.140625" style="240" customWidth="1"/>
    <col min="17" max="17" width="11.5703125" style="240" customWidth="1"/>
    <col min="18" max="18" width="13.140625" style="240" customWidth="1"/>
    <col min="19" max="19" width="11.85546875" style="240" customWidth="1"/>
    <col min="20" max="16384" width="11.42578125" style="240"/>
  </cols>
  <sheetData>
    <row r="1" spans="1:22" ht="12.75" x14ac:dyDescent="0.2">
      <c r="A1" s="934" t="str">
        <f>+ER!A1</f>
        <v>Empresa Comercial, SA de CV</v>
      </c>
      <c r="B1" s="366"/>
      <c r="C1" s="366"/>
      <c r="D1" s="366"/>
      <c r="E1" s="366"/>
      <c r="F1" s="364"/>
      <c r="G1" s="366"/>
      <c r="H1" s="366"/>
      <c r="I1" s="366"/>
      <c r="J1" s="366"/>
      <c r="K1" s="366"/>
      <c r="L1" s="366"/>
      <c r="M1" s="366"/>
      <c r="N1" s="366"/>
      <c r="O1" s="496"/>
      <c r="P1" s="496"/>
      <c r="Q1" s="496"/>
      <c r="R1" s="496"/>
      <c r="S1" s="496"/>
      <c r="T1" s="496"/>
    </row>
    <row r="2" spans="1:22" ht="12.75" thickBot="1" x14ac:dyDescent="0.25">
      <c r="A2" s="364" t="s">
        <v>859</v>
      </c>
      <c r="B2" s="366"/>
      <c r="C2" s="366"/>
      <c r="D2" s="497"/>
      <c r="E2" s="497"/>
      <c r="F2" s="497"/>
      <c r="G2" s="366"/>
      <c r="H2" s="366"/>
      <c r="I2" s="366"/>
      <c r="J2" s="366"/>
      <c r="K2" s="366"/>
      <c r="L2" s="366"/>
      <c r="M2" s="366"/>
      <c r="N2" s="366"/>
      <c r="O2" s="496"/>
      <c r="P2" s="496"/>
      <c r="Q2" s="496"/>
      <c r="R2" s="496"/>
      <c r="S2" s="496"/>
      <c r="T2" s="496"/>
    </row>
    <row r="3" spans="1:22" ht="12.75" thickBot="1" x14ac:dyDescent="0.25">
      <c r="A3" s="498" t="s">
        <v>351</v>
      </c>
      <c r="B3" s="499">
        <v>42736</v>
      </c>
      <c r="C3" s="499">
        <v>42767</v>
      </c>
      <c r="D3" s="499">
        <v>42795</v>
      </c>
      <c r="E3" s="499">
        <v>42826</v>
      </c>
      <c r="F3" s="499">
        <v>42856</v>
      </c>
      <c r="G3" s="499">
        <v>42887</v>
      </c>
      <c r="H3" s="499">
        <v>42917</v>
      </c>
      <c r="I3" s="499">
        <v>42948</v>
      </c>
      <c r="J3" s="499">
        <v>42979</v>
      </c>
      <c r="K3" s="499">
        <v>43009</v>
      </c>
      <c r="L3" s="499">
        <v>43040</v>
      </c>
      <c r="M3" s="499">
        <v>43070</v>
      </c>
      <c r="N3" s="500" t="s">
        <v>352</v>
      </c>
      <c r="O3" s="501"/>
      <c r="T3" s="502"/>
      <c r="U3" s="502"/>
      <c r="V3" s="502"/>
    </row>
    <row r="4" spans="1:22" s="239" customFormat="1" x14ac:dyDescent="0.2">
      <c r="A4" s="503" t="s">
        <v>8</v>
      </c>
      <c r="B4" s="190">
        <v>673350.71</v>
      </c>
      <c r="C4" s="190">
        <f>+B4+1000</f>
        <v>674350.71</v>
      </c>
      <c r="D4" s="190">
        <f t="shared" ref="D4:L4" si="0">+C4+1000</f>
        <v>675350.71</v>
      </c>
      <c r="E4" s="190">
        <f t="shared" si="0"/>
        <v>676350.71</v>
      </c>
      <c r="F4" s="190">
        <f t="shared" si="0"/>
        <v>677350.71</v>
      </c>
      <c r="G4" s="190">
        <f t="shared" si="0"/>
        <v>678350.71</v>
      </c>
      <c r="H4" s="190">
        <f t="shared" si="0"/>
        <v>679350.71</v>
      </c>
      <c r="I4" s="190">
        <f t="shared" si="0"/>
        <v>680350.71</v>
      </c>
      <c r="J4" s="190">
        <f t="shared" si="0"/>
        <v>681350.71</v>
      </c>
      <c r="K4" s="190">
        <f t="shared" si="0"/>
        <v>682350.71</v>
      </c>
      <c r="L4" s="190">
        <f t="shared" si="0"/>
        <v>683350.71</v>
      </c>
      <c r="M4" s="190">
        <f>+L4+1000+74000</f>
        <v>758350.71</v>
      </c>
      <c r="N4" s="493">
        <f>SUM(B4:M4)</f>
        <v>8220208.5199999996</v>
      </c>
    </row>
    <row r="5" spans="1:22" s="239" customFormat="1" x14ac:dyDescent="0.2">
      <c r="A5" s="504" t="s">
        <v>353</v>
      </c>
      <c r="B5" s="453">
        <f>+B4</f>
        <v>673350.71</v>
      </c>
      <c r="C5" s="453">
        <f>+C4+B5</f>
        <v>1347701.42</v>
      </c>
      <c r="D5" s="453">
        <f t="shared" ref="D5:M5" si="1">+D4+C5</f>
        <v>2023052.13</v>
      </c>
      <c r="E5" s="453">
        <f t="shared" si="1"/>
        <v>2699402.84</v>
      </c>
      <c r="F5" s="453">
        <f t="shared" si="1"/>
        <v>3376753.55</v>
      </c>
      <c r="G5" s="453">
        <f t="shared" si="1"/>
        <v>4055104.26</v>
      </c>
      <c r="H5" s="453">
        <f t="shared" si="1"/>
        <v>4734454.97</v>
      </c>
      <c r="I5" s="453">
        <f t="shared" si="1"/>
        <v>5414805.6799999997</v>
      </c>
      <c r="J5" s="453">
        <f t="shared" si="1"/>
        <v>6096156.3899999997</v>
      </c>
      <c r="K5" s="453">
        <f t="shared" si="1"/>
        <v>6778507.0999999996</v>
      </c>
      <c r="L5" s="453">
        <f t="shared" si="1"/>
        <v>7461857.8099999996</v>
      </c>
      <c r="M5" s="453">
        <f t="shared" si="1"/>
        <v>8220208.5199999996</v>
      </c>
      <c r="N5" s="505">
        <f>SUM(N4:N4)</f>
        <v>8220208.5199999996</v>
      </c>
    </row>
    <row r="6" spans="1:22" s="510" customFormat="1" ht="12.75" thickBot="1" x14ac:dyDescent="0.25">
      <c r="A6" s="506" t="s">
        <v>354</v>
      </c>
      <c r="B6" s="507">
        <v>0.01</v>
      </c>
      <c r="C6" s="508">
        <f>+B6</f>
        <v>0.01</v>
      </c>
      <c r="D6" s="508">
        <v>0.1111</v>
      </c>
      <c r="E6" s="508">
        <f t="shared" ref="E6:N6" si="2">+D6</f>
        <v>0.1111</v>
      </c>
      <c r="F6" s="508">
        <f t="shared" si="2"/>
        <v>0.1111</v>
      </c>
      <c r="G6" s="508">
        <f t="shared" si="2"/>
        <v>0.1111</v>
      </c>
      <c r="H6" s="508">
        <f t="shared" si="2"/>
        <v>0.1111</v>
      </c>
      <c r="I6" s="508">
        <f t="shared" si="2"/>
        <v>0.1111</v>
      </c>
      <c r="J6" s="508">
        <f t="shared" si="2"/>
        <v>0.1111</v>
      </c>
      <c r="K6" s="508">
        <f t="shared" si="2"/>
        <v>0.1111</v>
      </c>
      <c r="L6" s="508">
        <f t="shared" si="2"/>
        <v>0.1111</v>
      </c>
      <c r="M6" s="508">
        <f t="shared" si="2"/>
        <v>0.1111</v>
      </c>
      <c r="N6" s="509">
        <f t="shared" si="2"/>
        <v>0.1111</v>
      </c>
    </row>
    <row r="7" spans="1:22" s="239" customFormat="1" x14ac:dyDescent="0.2">
      <c r="A7" s="503" t="s">
        <v>355</v>
      </c>
      <c r="B7" s="400">
        <f t="shared" ref="B7:N7" si="3">+B5*B6</f>
        <v>6733.5070999999998</v>
      </c>
      <c r="C7" s="400">
        <f t="shared" si="3"/>
        <v>13477.0142</v>
      </c>
      <c r="D7" s="400">
        <f t="shared" si="3"/>
        <v>224761.09164299999</v>
      </c>
      <c r="E7" s="400">
        <f t="shared" si="3"/>
        <v>299903.655524</v>
      </c>
      <c r="F7" s="400">
        <f t="shared" si="3"/>
        <v>375157.31940500002</v>
      </c>
      <c r="G7" s="400">
        <f t="shared" si="3"/>
        <v>450522.08328600001</v>
      </c>
      <c r="H7" s="400">
        <f t="shared" si="3"/>
        <v>525997.94716700003</v>
      </c>
      <c r="I7" s="400">
        <f t="shared" si="3"/>
        <v>601584.91104799998</v>
      </c>
      <c r="J7" s="400">
        <f t="shared" si="3"/>
        <v>677282.97492900002</v>
      </c>
      <c r="K7" s="400">
        <f t="shared" si="3"/>
        <v>753092.13881000003</v>
      </c>
      <c r="L7" s="400">
        <f t="shared" si="3"/>
        <v>829012.40269100002</v>
      </c>
      <c r="M7" s="400">
        <f t="shared" si="3"/>
        <v>913265.16657200002</v>
      </c>
      <c r="N7" s="511">
        <f t="shared" si="3"/>
        <v>913265.16657200002</v>
      </c>
    </row>
    <row r="8" spans="1:22" s="239" customFormat="1" ht="24.75" thickBot="1" x14ac:dyDescent="0.25">
      <c r="A8" s="504" t="s">
        <v>11</v>
      </c>
      <c r="B8" s="512">
        <v>0</v>
      </c>
      <c r="C8" s="512">
        <f>+B8</f>
        <v>0</v>
      </c>
      <c r="D8" s="512">
        <f>+C8</f>
        <v>0</v>
      </c>
      <c r="E8" s="512">
        <f t="shared" ref="E8:M8" si="4">+D8</f>
        <v>0</v>
      </c>
      <c r="F8" s="512">
        <f t="shared" si="4"/>
        <v>0</v>
      </c>
      <c r="G8" s="512">
        <f t="shared" si="4"/>
        <v>0</v>
      </c>
      <c r="H8" s="512">
        <f t="shared" si="4"/>
        <v>0</v>
      </c>
      <c r="I8" s="512">
        <f t="shared" si="4"/>
        <v>0</v>
      </c>
      <c r="J8" s="512">
        <f t="shared" si="4"/>
        <v>0</v>
      </c>
      <c r="K8" s="512">
        <f t="shared" si="4"/>
        <v>0</v>
      </c>
      <c r="L8" s="512">
        <f t="shared" si="4"/>
        <v>0</v>
      </c>
      <c r="M8" s="512">
        <f t="shared" si="4"/>
        <v>0</v>
      </c>
      <c r="N8" s="513">
        <f>+M8</f>
        <v>0</v>
      </c>
    </row>
    <row r="9" spans="1:22" s="239" customFormat="1" x14ac:dyDescent="0.2">
      <c r="A9" s="504" t="s">
        <v>356</v>
      </c>
      <c r="B9" s="400">
        <f>IF(+B7-B8&gt;0,+B7-B8,0)</f>
        <v>6733.5070999999998</v>
      </c>
      <c r="C9" s="400">
        <f t="shared" ref="C9:M9" si="5">IF(+C7-C8&gt;0,+C7-C8,0)</f>
        <v>13477.0142</v>
      </c>
      <c r="D9" s="400">
        <f t="shared" si="5"/>
        <v>224761.09164299999</v>
      </c>
      <c r="E9" s="400">
        <f t="shared" si="5"/>
        <v>299903.655524</v>
      </c>
      <c r="F9" s="400">
        <f t="shared" si="5"/>
        <v>375157.31940500002</v>
      </c>
      <c r="G9" s="400">
        <f t="shared" si="5"/>
        <v>450522.08328600001</v>
      </c>
      <c r="H9" s="400">
        <f t="shared" si="5"/>
        <v>525997.94716700003</v>
      </c>
      <c r="I9" s="400">
        <f t="shared" si="5"/>
        <v>601584.91104799998</v>
      </c>
      <c r="J9" s="400">
        <f t="shared" si="5"/>
        <v>677282.97492900002</v>
      </c>
      <c r="K9" s="400">
        <f t="shared" si="5"/>
        <v>753092.13881000003</v>
      </c>
      <c r="L9" s="400">
        <f t="shared" si="5"/>
        <v>829012.40269100002</v>
      </c>
      <c r="M9" s="400">
        <f t="shared" si="5"/>
        <v>913265.16657200002</v>
      </c>
      <c r="N9" s="511">
        <f>+N7-N8</f>
        <v>913265.16657200002</v>
      </c>
    </row>
    <row r="10" spans="1:22" s="239" customFormat="1" ht="12.75" thickBot="1" x14ac:dyDescent="0.25">
      <c r="A10" s="504" t="s">
        <v>360</v>
      </c>
      <c r="B10" s="205"/>
      <c r="C10" s="205"/>
      <c r="D10" s="205"/>
      <c r="E10" s="205"/>
      <c r="F10" s="205"/>
      <c r="G10" s="205"/>
      <c r="H10" s="205"/>
      <c r="I10" s="205"/>
      <c r="J10" s="205"/>
      <c r="K10" s="205"/>
      <c r="L10" s="205"/>
      <c r="M10" s="205"/>
      <c r="N10" s="514"/>
    </row>
    <row r="11" spans="1:22" s="239" customFormat="1" x14ac:dyDescent="0.2">
      <c r="A11" s="503" t="s">
        <v>393</v>
      </c>
      <c r="B11" s="400">
        <f t="shared" ref="B11:M11" si="6">SUM(B9:B10)</f>
        <v>6733.5070999999998</v>
      </c>
      <c r="C11" s="400">
        <f t="shared" si="6"/>
        <v>13477.0142</v>
      </c>
      <c r="D11" s="400">
        <f t="shared" si="6"/>
        <v>224761.09164299999</v>
      </c>
      <c r="E11" s="400">
        <f t="shared" si="6"/>
        <v>299903.655524</v>
      </c>
      <c r="F11" s="400">
        <f t="shared" si="6"/>
        <v>375157.31940500002</v>
      </c>
      <c r="G11" s="400">
        <f t="shared" si="6"/>
        <v>450522.08328600001</v>
      </c>
      <c r="H11" s="400">
        <f t="shared" si="6"/>
        <v>525997.94716700003</v>
      </c>
      <c r="I11" s="400">
        <f t="shared" si="6"/>
        <v>601584.91104799998</v>
      </c>
      <c r="J11" s="400">
        <f t="shared" si="6"/>
        <v>677282.97492900002</v>
      </c>
      <c r="K11" s="400">
        <f t="shared" si="6"/>
        <v>753092.13881000003</v>
      </c>
      <c r="L11" s="400">
        <f t="shared" si="6"/>
        <v>829012.40269100002</v>
      </c>
      <c r="M11" s="400">
        <f t="shared" si="6"/>
        <v>913265.16657200002</v>
      </c>
      <c r="N11" s="511"/>
    </row>
    <row r="12" spans="1:22" s="239" customFormat="1" x14ac:dyDescent="0.2">
      <c r="A12" s="411" t="s">
        <v>546</v>
      </c>
      <c r="B12" s="193">
        <f>+B11*0.28</f>
        <v>1885.3819880000001</v>
      </c>
      <c r="C12" s="193">
        <f t="shared" ref="C12:M12" si="7">+C11*0.28</f>
        <v>3773.5639760000004</v>
      </c>
      <c r="D12" s="193">
        <f t="shared" si="7"/>
        <v>62933.105660040004</v>
      </c>
      <c r="E12" s="193">
        <f t="shared" si="7"/>
        <v>83973.023546720011</v>
      </c>
      <c r="F12" s="193">
        <f t="shared" si="7"/>
        <v>105044.04943340001</v>
      </c>
      <c r="G12" s="193">
        <f t="shared" si="7"/>
        <v>126146.18332008002</v>
      </c>
      <c r="H12" s="193">
        <f t="shared" si="7"/>
        <v>147279.42520676003</v>
      </c>
      <c r="I12" s="193">
        <f t="shared" si="7"/>
        <v>168443.77509344002</v>
      </c>
      <c r="J12" s="193">
        <f t="shared" si="7"/>
        <v>189639.23298012002</v>
      </c>
      <c r="K12" s="193">
        <f t="shared" si="7"/>
        <v>210865.79886680003</v>
      </c>
      <c r="L12" s="193">
        <f t="shared" si="7"/>
        <v>232123.47275348002</v>
      </c>
      <c r="M12" s="193">
        <f t="shared" si="7"/>
        <v>255714.24664016004</v>
      </c>
      <c r="N12" s="193">
        <f>+N11*0.29</f>
        <v>0</v>
      </c>
    </row>
    <row r="13" spans="1:22" s="239" customFormat="1" x14ac:dyDescent="0.2">
      <c r="A13" s="504" t="s">
        <v>394</v>
      </c>
      <c r="B13" s="246"/>
      <c r="C13" s="246"/>
      <c r="D13" s="246"/>
      <c r="E13" s="246"/>
      <c r="F13" s="246"/>
      <c r="G13" s="246"/>
      <c r="H13" s="246"/>
      <c r="I13" s="246"/>
      <c r="J13" s="246"/>
      <c r="K13" s="246"/>
      <c r="L13" s="246"/>
      <c r="M13" s="246"/>
      <c r="N13" s="453">
        <f>SUM(B13:M13)</f>
        <v>0</v>
      </c>
    </row>
    <row r="14" spans="1:22" s="239" customFormat="1" ht="12.75" thickBot="1" x14ac:dyDescent="0.25">
      <c r="A14" s="515" t="s">
        <v>395</v>
      </c>
      <c r="B14" s="205">
        <v>0</v>
      </c>
      <c r="C14" s="205">
        <f t="shared" ref="C14:M14" si="8">+B14+B15</f>
        <v>1885.3819880000001</v>
      </c>
      <c r="D14" s="205">
        <f t="shared" si="8"/>
        <v>3773.5639760000004</v>
      </c>
      <c r="E14" s="205">
        <f t="shared" si="8"/>
        <v>62933.105660040004</v>
      </c>
      <c r="F14" s="205">
        <f t="shared" si="8"/>
        <v>83973.023546720011</v>
      </c>
      <c r="G14" s="205">
        <f t="shared" si="8"/>
        <v>105044.04943340001</v>
      </c>
      <c r="H14" s="205">
        <f t="shared" si="8"/>
        <v>126146.18332008002</v>
      </c>
      <c r="I14" s="205">
        <f t="shared" si="8"/>
        <v>147279.42520676003</v>
      </c>
      <c r="J14" s="205">
        <f t="shared" si="8"/>
        <v>168443.77509344002</v>
      </c>
      <c r="K14" s="205">
        <f t="shared" si="8"/>
        <v>189639.23298012002</v>
      </c>
      <c r="L14" s="205">
        <f t="shared" si="8"/>
        <v>210865.79886680003</v>
      </c>
      <c r="M14" s="205">
        <f t="shared" si="8"/>
        <v>232123.47275348002</v>
      </c>
      <c r="N14" s="205">
        <v>0</v>
      </c>
    </row>
    <row r="15" spans="1:22" s="239" customFormat="1" ht="12.75" thickBot="1" x14ac:dyDescent="0.25">
      <c r="A15" s="516" t="s">
        <v>396</v>
      </c>
      <c r="B15" s="517">
        <f t="shared" ref="B15:M15" si="9">IF((B12-B13-B14)&gt;0,(B12-B13-B14),0)</f>
        <v>1885.3819880000001</v>
      </c>
      <c r="C15" s="517">
        <f t="shared" si="9"/>
        <v>1888.1819880000003</v>
      </c>
      <c r="D15" s="517">
        <f t="shared" si="9"/>
        <v>59159.541684040007</v>
      </c>
      <c r="E15" s="517">
        <f t="shared" si="9"/>
        <v>21039.917886680007</v>
      </c>
      <c r="F15" s="517">
        <f t="shared" si="9"/>
        <v>21071.02588668</v>
      </c>
      <c r="G15" s="517">
        <f t="shared" si="9"/>
        <v>21102.133886680007</v>
      </c>
      <c r="H15" s="517">
        <f t="shared" si="9"/>
        <v>21133.241886680014</v>
      </c>
      <c r="I15" s="517">
        <f t="shared" si="9"/>
        <v>21164.349886679993</v>
      </c>
      <c r="J15" s="517">
        <f t="shared" si="9"/>
        <v>21195.45788668</v>
      </c>
      <c r="K15" s="517">
        <f t="shared" si="9"/>
        <v>21226.565886680008</v>
      </c>
      <c r="L15" s="517">
        <f t="shared" si="9"/>
        <v>21257.673886679986</v>
      </c>
      <c r="M15" s="517">
        <f t="shared" si="9"/>
        <v>23590.773886680021</v>
      </c>
      <c r="N15" s="453">
        <f>SUM(B15:M15)</f>
        <v>255714.24664016004</v>
      </c>
    </row>
    <row r="16" spans="1:22" s="239" customFormat="1" x14ac:dyDescent="0.2">
      <c r="A16" s="518" t="s">
        <v>397</v>
      </c>
      <c r="B16" s="245"/>
      <c r="C16" s="245"/>
      <c r="D16" s="245"/>
      <c r="E16" s="245"/>
      <c r="F16" s="245">
        <v>0</v>
      </c>
      <c r="G16" s="245">
        <v>0</v>
      </c>
      <c r="H16" s="245">
        <v>0</v>
      </c>
      <c r="I16" s="245">
        <v>0</v>
      </c>
      <c r="J16" s="245">
        <v>0</v>
      </c>
      <c r="K16" s="245">
        <v>0</v>
      </c>
      <c r="L16" s="245">
        <v>0</v>
      </c>
      <c r="M16" s="245">
        <v>0</v>
      </c>
      <c r="N16" s="493">
        <f>SUM(B16:M16)</f>
        <v>0</v>
      </c>
    </row>
    <row r="17" spans="1:19" s="239" customFormat="1" x14ac:dyDescent="0.2">
      <c r="A17" s="411" t="s">
        <v>357</v>
      </c>
      <c r="B17" s="193">
        <f t="shared" ref="B17:N17" si="10">+B15-B16</f>
        <v>1885.3819880000001</v>
      </c>
      <c r="C17" s="193">
        <f t="shared" si="10"/>
        <v>1888.1819880000003</v>
      </c>
      <c r="D17" s="193">
        <f t="shared" si="10"/>
        <v>59159.541684040007</v>
      </c>
      <c r="E17" s="193">
        <f t="shared" si="10"/>
        <v>21039.917886680007</v>
      </c>
      <c r="F17" s="193">
        <f t="shared" si="10"/>
        <v>21071.02588668</v>
      </c>
      <c r="G17" s="193">
        <f t="shared" si="10"/>
        <v>21102.133886680007</v>
      </c>
      <c r="H17" s="193">
        <f t="shared" si="10"/>
        <v>21133.241886680014</v>
      </c>
      <c r="I17" s="193">
        <f t="shared" si="10"/>
        <v>21164.349886679993</v>
      </c>
      <c r="J17" s="193">
        <f t="shared" si="10"/>
        <v>21195.45788668</v>
      </c>
      <c r="K17" s="193">
        <f t="shared" si="10"/>
        <v>21226.565886680008</v>
      </c>
      <c r="L17" s="193">
        <f t="shared" si="10"/>
        <v>21257.673886679986</v>
      </c>
      <c r="M17" s="193">
        <f t="shared" si="10"/>
        <v>23590.773886680021</v>
      </c>
      <c r="N17" s="457">
        <f t="shared" si="10"/>
        <v>255714.24664016004</v>
      </c>
    </row>
    <row r="18" spans="1:19" s="519" customFormat="1" x14ac:dyDescent="0.2">
      <c r="A18" s="494" t="s">
        <v>358</v>
      </c>
      <c r="B18" s="457">
        <f>+B17</f>
        <v>1885.3819880000001</v>
      </c>
      <c r="C18" s="457">
        <f t="shared" ref="C18:M18" si="11">+B18+C17</f>
        <v>3773.5639760000004</v>
      </c>
      <c r="D18" s="457">
        <f t="shared" si="11"/>
        <v>62933.105660040004</v>
      </c>
      <c r="E18" s="457">
        <f t="shared" si="11"/>
        <v>83973.023546720011</v>
      </c>
      <c r="F18" s="457">
        <f t="shared" si="11"/>
        <v>105044.04943340001</v>
      </c>
      <c r="G18" s="457">
        <f t="shared" si="11"/>
        <v>126146.18332008002</v>
      </c>
      <c r="H18" s="457">
        <f t="shared" si="11"/>
        <v>147279.42520676003</v>
      </c>
      <c r="I18" s="457">
        <f t="shared" si="11"/>
        <v>168443.77509344002</v>
      </c>
      <c r="J18" s="457">
        <f t="shared" si="11"/>
        <v>189639.23298012002</v>
      </c>
      <c r="K18" s="457">
        <f t="shared" si="11"/>
        <v>210865.79886680003</v>
      </c>
      <c r="L18" s="457">
        <f t="shared" si="11"/>
        <v>232123.47275348002</v>
      </c>
      <c r="M18" s="457">
        <f t="shared" si="11"/>
        <v>255714.24664016004</v>
      </c>
      <c r="N18" s="193">
        <f>+N17</f>
        <v>255714.24664016004</v>
      </c>
    </row>
    <row r="19" spans="1:19" x14ac:dyDescent="0.2">
      <c r="A19" s="365"/>
      <c r="B19" s="365"/>
      <c r="C19" s="365"/>
      <c r="D19" s="404"/>
      <c r="E19" s="365"/>
      <c r="F19" s="365"/>
      <c r="G19" s="365"/>
      <c r="H19" s="365"/>
      <c r="I19" s="365"/>
      <c r="J19" s="365"/>
      <c r="K19" s="365"/>
      <c r="L19" s="365"/>
      <c r="M19" s="365"/>
      <c r="N19" s="365"/>
      <c r="O19" s="501"/>
    </row>
    <row r="20" spans="1:19" x14ac:dyDescent="0.2">
      <c r="A20" s="366"/>
      <c r="B20" s="366"/>
      <c r="C20" s="366"/>
      <c r="D20" s="366"/>
      <c r="E20" s="366"/>
      <c r="F20" s="366"/>
      <c r="G20" s="366"/>
      <c r="H20" s="366"/>
      <c r="I20" s="366"/>
      <c r="J20" s="366"/>
      <c r="K20" s="366"/>
      <c r="L20" s="366"/>
      <c r="M20" s="366"/>
      <c r="N20" s="366"/>
    </row>
    <row r="21" spans="1:19" x14ac:dyDescent="0.2">
      <c r="B21" s="190"/>
      <c r="C21" s="190"/>
      <c r="D21" s="190"/>
      <c r="E21" s="190"/>
      <c r="F21" s="190"/>
      <c r="G21" s="190"/>
      <c r="H21" s="190"/>
      <c r="I21" s="190"/>
      <c r="J21" s="190"/>
      <c r="K21" s="190"/>
      <c r="L21" s="190"/>
      <c r="M21" s="190"/>
      <c r="N21" s="190"/>
      <c r="O21" s="239"/>
      <c r="P21" s="239"/>
      <c r="Q21" s="239"/>
      <c r="R21" s="239"/>
      <c r="S21" s="239"/>
    </row>
    <row r="22" spans="1:19" ht="12.75" thickBot="1" x14ac:dyDescent="0.25">
      <c r="A22" s="364" t="s">
        <v>860</v>
      </c>
      <c r="B22" s="366"/>
      <c r="C22" s="366"/>
      <c r="D22" s="497"/>
      <c r="E22" s="497"/>
      <c r="F22" s="497"/>
      <c r="G22" s="366"/>
      <c r="H22" s="366"/>
      <c r="I22" s="366"/>
      <c r="J22" s="366"/>
      <c r="K22" s="366"/>
      <c r="L22" s="366"/>
      <c r="M22" s="366"/>
      <c r="N22" s="366"/>
      <c r="O22" s="239"/>
      <c r="P22" s="239"/>
      <c r="Q22" s="239"/>
      <c r="R22" s="239"/>
      <c r="S22" s="239"/>
    </row>
    <row r="23" spans="1:19" ht="12.75" thickBot="1" x14ac:dyDescent="0.25">
      <c r="A23" s="498" t="s">
        <v>351</v>
      </c>
      <c r="B23" s="499">
        <v>42370</v>
      </c>
      <c r="C23" s="499">
        <v>42401</v>
      </c>
      <c r="D23" s="499">
        <v>42430</v>
      </c>
      <c r="E23" s="499">
        <v>42461</v>
      </c>
      <c r="F23" s="499">
        <v>42491</v>
      </c>
      <c r="G23" s="499">
        <v>42522</v>
      </c>
      <c r="H23" s="499">
        <v>42552</v>
      </c>
      <c r="I23" s="499">
        <v>42583</v>
      </c>
      <c r="J23" s="499">
        <v>42614</v>
      </c>
      <c r="K23" s="499">
        <v>42644</v>
      </c>
      <c r="L23" s="499">
        <v>42675</v>
      </c>
      <c r="M23" s="499">
        <v>42705</v>
      </c>
      <c r="N23" s="500" t="s">
        <v>352</v>
      </c>
      <c r="O23" s="239"/>
      <c r="P23" s="239"/>
      <c r="Q23" s="239"/>
      <c r="R23" s="239"/>
      <c r="S23" s="239"/>
    </row>
    <row r="24" spans="1:19" x14ac:dyDescent="0.2">
      <c r="A24" s="503" t="s">
        <v>8</v>
      </c>
      <c r="B24" s="190">
        <v>430000</v>
      </c>
      <c r="C24" s="190">
        <f t="shared" ref="C24:L24" si="12">+B24+1000</f>
        <v>431000</v>
      </c>
      <c r="D24" s="190">
        <f t="shared" si="12"/>
        <v>432000</v>
      </c>
      <c r="E24" s="190">
        <f t="shared" si="12"/>
        <v>433000</v>
      </c>
      <c r="F24" s="190">
        <f t="shared" si="12"/>
        <v>434000</v>
      </c>
      <c r="G24" s="190">
        <f t="shared" si="12"/>
        <v>435000</v>
      </c>
      <c r="H24" s="190">
        <f t="shared" si="12"/>
        <v>436000</v>
      </c>
      <c r="I24" s="190">
        <f t="shared" si="12"/>
        <v>437000</v>
      </c>
      <c r="J24" s="190">
        <f t="shared" si="12"/>
        <v>438000</v>
      </c>
      <c r="K24" s="190">
        <f t="shared" si="12"/>
        <v>439000</v>
      </c>
      <c r="L24" s="190">
        <f t="shared" si="12"/>
        <v>440000</v>
      </c>
      <c r="M24" s="190">
        <f>+L24+1000+74000</f>
        <v>515000</v>
      </c>
      <c r="N24" s="493">
        <f>SUM(B24:M24)</f>
        <v>5300000</v>
      </c>
      <c r="O24" s="239"/>
      <c r="P24" s="239"/>
      <c r="Q24" s="239"/>
      <c r="R24" s="239"/>
      <c r="S24" s="239"/>
    </row>
    <row r="25" spans="1:19" x14ac:dyDescent="0.2">
      <c r="A25" s="504" t="s">
        <v>353</v>
      </c>
      <c r="B25" s="453">
        <f>+B24</f>
        <v>430000</v>
      </c>
      <c r="C25" s="453">
        <f t="shared" ref="C25:M25" si="13">+C24+B25</f>
        <v>861000</v>
      </c>
      <c r="D25" s="453">
        <f t="shared" si="13"/>
        <v>1293000</v>
      </c>
      <c r="E25" s="453">
        <f t="shared" si="13"/>
        <v>1726000</v>
      </c>
      <c r="F25" s="453">
        <f t="shared" si="13"/>
        <v>2160000</v>
      </c>
      <c r="G25" s="453">
        <f t="shared" si="13"/>
        <v>2595000</v>
      </c>
      <c r="H25" s="453">
        <f t="shared" si="13"/>
        <v>3031000</v>
      </c>
      <c r="I25" s="453">
        <f t="shared" si="13"/>
        <v>3468000</v>
      </c>
      <c r="J25" s="453">
        <f t="shared" si="13"/>
        <v>3906000</v>
      </c>
      <c r="K25" s="453">
        <f t="shared" si="13"/>
        <v>4345000</v>
      </c>
      <c r="L25" s="453">
        <f t="shared" si="13"/>
        <v>4785000</v>
      </c>
      <c r="M25" s="453">
        <f t="shared" si="13"/>
        <v>5300000</v>
      </c>
      <c r="N25" s="505">
        <f>SUM(N24:N24)</f>
        <v>5300000</v>
      </c>
      <c r="O25" s="239"/>
      <c r="P25" s="239"/>
      <c r="Q25" s="239"/>
      <c r="R25" s="239"/>
      <c r="S25" s="239"/>
    </row>
    <row r="26" spans="1:19" ht="12.75" thickBot="1" x14ac:dyDescent="0.25">
      <c r="A26" s="506" t="s">
        <v>354</v>
      </c>
      <c r="B26" s="507">
        <v>0.01</v>
      </c>
      <c r="C26" s="508">
        <f>+B26</f>
        <v>0.01</v>
      </c>
      <c r="D26" s="508">
        <v>0.1111</v>
      </c>
      <c r="E26" s="508">
        <f t="shared" ref="E26:N26" si="14">+D26</f>
        <v>0.1111</v>
      </c>
      <c r="F26" s="508">
        <f t="shared" si="14"/>
        <v>0.1111</v>
      </c>
      <c r="G26" s="508">
        <f t="shared" si="14"/>
        <v>0.1111</v>
      </c>
      <c r="H26" s="508">
        <f t="shared" si="14"/>
        <v>0.1111</v>
      </c>
      <c r="I26" s="508">
        <f t="shared" si="14"/>
        <v>0.1111</v>
      </c>
      <c r="J26" s="508">
        <f t="shared" si="14"/>
        <v>0.1111</v>
      </c>
      <c r="K26" s="508">
        <f t="shared" si="14"/>
        <v>0.1111</v>
      </c>
      <c r="L26" s="508">
        <f t="shared" si="14"/>
        <v>0.1111</v>
      </c>
      <c r="M26" s="508">
        <f t="shared" si="14"/>
        <v>0.1111</v>
      </c>
      <c r="N26" s="509">
        <f t="shared" si="14"/>
        <v>0.1111</v>
      </c>
      <c r="O26" s="239"/>
      <c r="P26" s="239"/>
      <c r="Q26" s="239"/>
      <c r="R26" s="239"/>
      <c r="S26" s="239"/>
    </row>
    <row r="27" spans="1:19" x14ac:dyDescent="0.2">
      <c r="A27" s="503" t="s">
        <v>355</v>
      </c>
      <c r="B27" s="400">
        <f t="shared" ref="B27:N27" si="15">+B25*B26</f>
        <v>4300</v>
      </c>
      <c r="C27" s="400">
        <f t="shared" si="15"/>
        <v>8610</v>
      </c>
      <c r="D27" s="400">
        <f t="shared" si="15"/>
        <v>143652.30000000002</v>
      </c>
      <c r="E27" s="400">
        <f t="shared" si="15"/>
        <v>191758.6</v>
      </c>
      <c r="F27" s="400">
        <f t="shared" si="15"/>
        <v>239976</v>
      </c>
      <c r="G27" s="400">
        <f t="shared" si="15"/>
        <v>288304.5</v>
      </c>
      <c r="H27" s="400">
        <f t="shared" si="15"/>
        <v>336744.10000000003</v>
      </c>
      <c r="I27" s="400">
        <f t="shared" si="15"/>
        <v>385294.8</v>
      </c>
      <c r="J27" s="400">
        <f t="shared" si="15"/>
        <v>433956.60000000003</v>
      </c>
      <c r="K27" s="400">
        <f t="shared" si="15"/>
        <v>482729.5</v>
      </c>
      <c r="L27" s="400">
        <f t="shared" si="15"/>
        <v>531613.5</v>
      </c>
      <c r="M27" s="400">
        <f t="shared" si="15"/>
        <v>588830</v>
      </c>
      <c r="N27" s="511">
        <f t="shared" si="15"/>
        <v>588830</v>
      </c>
      <c r="O27" s="239"/>
      <c r="P27" s="239"/>
      <c r="Q27" s="239"/>
      <c r="R27" s="239"/>
      <c r="S27" s="239"/>
    </row>
    <row r="28" spans="1:19" ht="24.75" thickBot="1" x14ac:dyDescent="0.25">
      <c r="A28" s="504" t="s">
        <v>11</v>
      </c>
      <c r="B28" s="512">
        <v>0</v>
      </c>
      <c r="C28" s="512">
        <f t="shared" ref="C28:N28" si="16">+B28</f>
        <v>0</v>
      </c>
      <c r="D28" s="512">
        <f t="shared" si="16"/>
        <v>0</v>
      </c>
      <c r="E28" s="512">
        <f t="shared" si="16"/>
        <v>0</v>
      </c>
      <c r="F28" s="512">
        <f t="shared" si="16"/>
        <v>0</v>
      </c>
      <c r="G28" s="512">
        <f t="shared" si="16"/>
        <v>0</v>
      </c>
      <c r="H28" s="512">
        <f t="shared" si="16"/>
        <v>0</v>
      </c>
      <c r="I28" s="512">
        <f t="shared" si="16"/>
        <v>0</v>
      </c>
      <c r="J28" s="512">
        <f t="shared" si="16"/>
        <v>0</v>
      </c>
      <c r="K28" s="512">
        <f t="shared" si="16"/>
        <v>0</v>
      </c>
      <c r="L28" s="512">
        <f t="shared" si="16"/>
        <v>0</v>
      </c>
      <c r="M28" s="512">
        <f t="shared" si="16"/>
        <v>0</v>
      </c>
      <c r="N28" s="513">
        <f t="shared" si="16"/>
        <v>0</v>
      </c>
      <c r="O28" s="239"/>
      <c r="P28" s="239"/>
      <c r="Q28" s="239"/>
      <c r="R28" s="239"/>
      <c r="S28" s="239"/>
    </row>
    <row r="29" spans="1:19" x14ac:dyDescent="0.2">
      <c r="A29" s="504" t="s">
        <v>356</v>
      </c>
      <c r="B29" s="400">
        <f>IF(+B27-B28&gt;0,+B27-B28,0)</f>
        <v>4300</v>
      </c>
      <c r="C29" s="400">
        <f t="shared" ref="C29:M29" si="17">IF(+C27-C28&gt;0,+C27-C28,0)</f>
        <v>8610</v>
      </c>
      <c r="D29" s="400">
        <f t="shared" si="17"/>
        <v>143652.30000000002</v>
      </c>
      <c r="E29" s="400">
        <f t="shared" si="17"/>
        <v>191758.6</v>
      </c>
      <c r="F29" s="400">
        <f t="shared" si="17"/>
        <v>239976</v>
      </c>
      <c r="G29" s="400">
        <f t="shared" si="17"/>
        <v>288304.5</v>
      </c>
      <c r="H29" s="400">
        <f t="shared" si="17"/>
        <v>336744.10000000003</v>
      </c>
      <c r="I29" s="400">
        <f t="shared" si="17"/>
        <v>385294.8</v>
      </c>
      <c r="J29" s="400">
        <f t="shared" si="17"/>
        <v>433956.60000000003</v>
      </c>
      <c r="K29" s="400">
        <f t="shared" si="17"/>
        <v>482729.5</v>
      </c>
      <c r="L29" s="400">
        <f t="shared" si="17"/>
        <v>531613.5</v>
      </c>
      <c r="M29" s="400">
        <f t="shared" si="17"/>
        <v>588830</v>
      </c>
      <c r="N29" s="511">
        <f>+N27-N28</f>
        <v>588830</v>
      </c>
      <c r="O29" s="239"/>
      <c r="P29" s="239"/>
      <c r="Q29" s="239"/>
      <c r="R29" s="239"/>
      <c r="S29" s="239"/>
    </row>
    <row r="30" spans="1:19" ht="12.75" thickBot="1" x14ac:dyDescent="0.25">
      <c r="A30" s="504" t="s">
        <v>360</v>
      </c>
      <c r="B30" s="205">
        <f>+'Acum inventario'!D137/12</f>
        <v>0</v>
      </c>
      <c r="C30" s="205">
        <f>+$B$10*2</f>
        <v>0</v>
      </c>
      <c r="D30" s="205">
        <f>+$B$10*3</f>
        <v>0</v>
      </c>
      <c r="E30" s="205">
        <f>+$B$10*4</f>
        <v>0</v>
      </c>
      <c r="F30" s="205">
        <f>+$B$10*5</f>
        <v>0</v>
      </c>
      <c r="G30" s="205">
        <f>+$B$10*6</f>
        <v>0</v>
      </c>
      <c r="H30" s="205">
        <f>+$B$10*7</f>
        <v>0</v>
      </c>
      <c r="I30" s="205">
        <f>+$B$10*8</f>
        <v>0</v>
      </c>
      <c r="J30" s="205">
        <f>+$B$10*9</f>
        <v>0</v>
      </c>
      <c r="K30" s="205">
        <f>+$B$10*10</f>
        <v>0</v>
      </c>
      <c r="L30" s="205">
        <f>+$B$10*11</f>
        <v>0</v>
      </c>
      <c r="M30" s="205">
        <f>+$B$10*12</f>
        <v>0</v>
      </c>
      <c r="N30" s="514"/>
      <c r="O30" s="239"/>
      <c r="P30" s="239"/>
      <c r="Q30" s="239"/>
      <c r="R30" s="239"/>
      <c r="S30" s="239"/>
    </row>
    <row r="31" spans="1:19" x14ac:dyDescent="0.2">
      <c r="A31" s="503" t="s">
        <v>393</v>
      </c>
      <c r="B31" s="400">
        <f t="shared" ref="B31:M31" si="18">SUM(B29:B30)</f>
        <v>4300</v>
      </c>
      <c r="C31" s="400">
        <f t="shared" si="18"/>
        <v>8610</v>
      </c>
      <c r="D31" s="400">
        <f t="shared" si="18"/>
        <v>143652.30000000002</v>
      </c>
      <c r="E31" s="400">
        <f t="shared" si="18"/>
        <v>191758.6</v>
      </c>
      <c r="F31" s="400">
        <f t="shared" si="18"/>
        <v>239976</v>
      </c>
      <c r="G31" s="400">
        <f t="shared" si="18"/>
        <v>288304.5</v>
      </c>
      <c r="H31" s="400">
        <f t="shared" si="18"/>
        <v>336744.10000000003</v>
      </c>
      <c r="I31" s="400">
        <f t="shared" si="18"/>
        <v>385294.8</v>
      </c>
      <c r="J31" s="400">
        <f t="shared" si="18"/>
        <v>433956.60000000003</v>
      </c>
      <c r="K31" s="400">
        <f t="shared" si="18"/>
        <v>482729.5</v>
      </c>
      <c r="L31" s="400">
        <f t="shared" si="18"/>
        <v>531613.5</v>
      </c>
      <c r="M31" s="400">
        <f t="shared" si="18"/>
        <v>588830</v>
      </c>
      <c r="N31" s="511"/>
      <c r="O31" s="239"/>
      <c r="P31" s="239"/>
      <c r="Q31" s="239"/>
      <c r="R31" s="239"/>
      <c r="S31" s="239"/>
    </row>
    <row r="32" spans="1:19" x14ac:dyDescent="0.2">
      <c r="A32" s="411" t="s">
        <v>546</v>
      </c>
      <c r="B32" s="193">
        <f>+B31*0.28</f>
        <v>1204.0000000000002</v>
      </c>
      <c r="C32" s="193">
        <f t="shared" ref="C32:M32" si="19">+C31*0.28</f>
        <v>2410.8000000000002</v>
      </c>
      <c r="D32" s="193">
        <f t="shared" si="19"/>
        <v>40222.644000000008</v>
      </c>
      <c r="E32" s="193">
        <f t="shared" si="19"/>
        <v>53692.40800000001</v>
      </c>
      <c r="F32" s="193">
        <f t="shared" si="19"/>
        <v>67193.280000000013</v>
      </c>
      <c r="G32" s="193">
        <f t="shared" si="19"/>
        <v>80725.260000000009</v>
      </c>
      <c r="H32" s="193">
        <f t="shared" si="19"/>
        <v>94288.348000000013</v>
      </c>
      <c r="I32" s="193">
        <f t="shared" si="19"/>
        <v>107882.54400000001</v>
      </c>
      <c r="J32" s="193">
        <f t="shared" si="19"/>
        <v>121507.84800000003</v>
      </c>
      <c r="K32" s="193">
        <f t="shared" si="19"/>
        <v>135164.26</v>
      </c>
      <c r="L32" s="193">
        <f t="shared" si="19"/>
        <v>148851.78000000003</v>
      </c>
      <c r="M32" s="193">
        <f t="shared" si="19"/>
        <v>164872.40000000002</v>
      </c>
      <c r="N32" s="193">
        <f>+N31*0.29</f>
        <v>0</v>
      </c>
      <c r="O32" s="239"/>
      <c r="P32" s="239"/>
      <c r="Q32" s="239"/>
      <c r="R32" s="239"/>
      <c r="S32" s="239"/>
    </row>
    <row r="33" spans="1:19" x14ac:dyDescent="0.2">
      <c r="A33" s="504" t="s">
        <v>394</v>
      </c>
      <c r="B33" s="246"/>
      <c r="C33" s="246"/>
      <c r="D33" s="246"/>
      <c r="E33" s="246"/>
      <c r="F33" s="246"/>
      <c r="G33" s="246"/>
      <c r="H33" s="246"/>
      <c r="I33" s="246"/>
      <c r="J33" s="246"/>
      <c r="K33" s="246"/>
      <c r="L33" s="246"/>
      <c r="M33" s="246"/>
      <c r="N33" s="453">
        <f>SUM(B33:M33)</f>
        <v>0</v>
      </c>
      <c r="O33" s="239"/>
      <c r="P33" s="239"/>
      <c r="Q33" s="239"/>
      <c r="R33" s="239"/>
      <c r="S33" s="239"/>
    </row>
    <row r="34" spans="1:19" ht="12.75" thickBot="1" x14ac:dyDescent="0.25">
      <c r="A34" s="515" t="s">
        <v>395</v>
      </c>
      <c r="B34" s="205">
        <v>0</v>
      </c>
      <c r="C34" s="205">
        <f t="shared" ref="C34:M34" si="20">+B34+B35</f>
        <v>1204.0000000000002</v>
      </c>
      <c r="D34" s="205">
        <f t="shared" si="20"/>
        <v>2410.8000000000002</v>
      </c>
      <c r="E34" s="205">
        <f t="shared" si="20"/>
        <v>40222.644000000008</v>
      </c>
      <c r="F34" s="205">
        <f t="shared" si="20"/>
        <v>53692.40800000001</v>
      </c>
      <c r="G34" s="205">
        <f t="shared" si="20"/>
        <v>67193.280000000013</v>
      </c>
      <c r="H34" s="205">
        <f t="shared" si="20"/>
        <v>80725.260000000009</v>
      </c>
      <c r="I34" s="205">
        <f t="shared" si="20"/>
        <v>94288.348000000013</v>
      </c>
      <c r="J34" s="205">
        <f t="shared" si="20"/>
        <v>107882.54400000001</v>
      </c>
      <c r="K34" s="205">
        <f t="shared" si="20"/>
        <v>121507.84800000003</v>
      </c>
      <c r="L34" s="205">
        <f t="shared" si="20"/>
        <v>135164.26</v>
      </c>
      <c r="M34" s="205">
        <f t="shared" si="20"/>
        <v>148851.78000000003</v>
      </c>
      <c r="N34" s="205">
        <v>0</v>
      </c>
      <c r="O34" s="239"/>
      <c r="P34" s="239"/>
      <c r="Q34" s="239"/>
      <c r="R34" s="239"/>
      <c r="S34" s="239"/>
    </row>
    <row r="35" spans="1:19" ht="12.75" thickBot="1" x14ac:dyDescent="0.25">
      <c r="A35" s="516" t="s">
        <v>396</v>
      </c>
      <c r="B35" s="517">
        <f t="shared" ref="B35:M35" si="21">IF((B32-B33-B34)&gt;0,(B32-B33-B34),0)</f>
        <v>1204.0000000000002</v>
      </c>
      <c r="C35" s="517">
        <f t="shared" si="21"/>
        <v>1206.8</v>
      </c>
      <c r="D35" s="517">
        <f t="shared" si="21"/>
        <v>37811.844000000005</v>
      </c>
      <c r="E35" s="517">
        <f t="shared" si="21"/>
        <v>13469.764000000003</v>
      </c>
      <c r="F35" s="517">
        <f t="shared" si="21"/>
        <v>13500.872000000003</v>
      </c>
      <c r="G35" s="517">
        <f t="shared" si="21"/>
        <v>13531.979999999996</v>
      </c>
      <c r="H35" s="517">
        <f t="shared" si="21"/>
        <v>13563.088000000003</v>
      </c>
      <c r="I35" s="517">
        <f t="shared" si="21"/>
        <v>13594.195999999996</v>
      </c>
      <c r="J35" s="517">
        <f t="shared" si="21"/>
        <v>13625.304000000018</v>
      </c>
      <c r="K35" s="517">
        <f t="shared" si="21"/>
        <v>13656.411999999982</v>
      </c>
      <c r="L35" s="517">
        <f t="shared" si="21"/>
        <v>13687.520000000019</v>
      </c>
      <c r="M35" s="517">
        <f t="shared" si="21"/>
        <v>16020.619999999995</v>
      </c>
      <c r="N35" s="453">
        <f>SUM(B35:M35)</f>
        <v>164872.40000000002</v>
      </c>
      <c r="O35" s="239"/>
      <c r="P35" s="239"/>
      <c r="Q35" s="239"/>
      <c r="R35" s="239"/>
      <c r="S35" s="239"/>
    </row>
    <row r="36" spans="1:19" x14ac:dyDescent="0.2">
      <c r="A36" s="518" t="s">
        <v>397</v>
      </c>
      <c r="B36" s="245"/>
      <c r="C36" s="245"/>
      <c r="D36" s="245"/>
      <c r="E36" s="245"/>
      <c r="F36" s="245">
        <v>0</v>
      </c>
      <c r="G36" s="245">
        <v>0</v>
      </c>
      <c r="H36" s="245">
        <v>0</v>
      </c>
      <c r="I36" s="245">
        <v>0</v>
      </c>
      <c r="J36" s="245">
        <v>0</v>
      </c>
      <c r="K36" s="245">
        <v>0</v>
      </c>
      <c r="L36" s="245">
        <v>0</v>
      </c>
      <c r="M36" s="245">
        <v>0</v>
      </c>
      <c r="N36" s="493">
        <f>SUM(B36:M36)</f>
        <v>0</v>
      </c>
      <c r="O36" s="239"/>
      <c r="P36" s="239"/>
      <c r="Q36" s="239"/>
      <c r="R36" s="239"/>
      <c r="S36" s="239"/>
    </row>
    <row r="37" spans="1:19" x14ac:dyDescent="0.2">
      <c r="A37" s="411" t="s">
        <v>357</v>
      </c>
      <c r="B37" s="193">
        <f t="shared" ref="B37:N37" si="22">+B35-B36</f>
        <v>1204.0000000000002</v>
      </c>
      <c r="C37" s="193">
        <f t="shared" si="22"/>
        <v>1206.8</v>
      </c>
      <c r="D37" s="193">
        <f t="shared" si="22"/>
        <v>37811.844000000005</v>
      </c>
      <c r="E37" s="193">
        <f t="shared" si="22"/>
        <v>13469.764000000003</v>
      </c>
      <c r="F37" s="193">
        <f t="shared" si="22"/>
        <v>13500.872000000003</v>
      </c>
      <c r="G37" s="193">
        <f t="shared" si="22"/>
        <v>13531.979999999996</v>
      </c>
      <c r="H37" s="193">
        <f t="shared" si="22"/>
        <v>13563.088000000003</v>
      </c>
      <c r="I37" s="193">
        <f t="shared" si="22"/>
        <v>13594.195999999996</v>
      </c>
      <c r="J37" s="193">
        <f t="shared" si="22"/>
        <v>13625.304000000018</v>
      </c>
      <c r="K37" s="193">
        <f t="shared" si="22"/>
        <v>13656.411999999982</v>
      </c>
      <c r="L37" s="193">
        <f t="shared" si="22"/>
        <v>13687.520000000019</v>
      </c>
      <c r="M37" s="193">
        <f t="shared" si="22"/>
        <v>16020.619999999995</v>
      </c>
      <c r="N37" s="457">
        <f t="shared" si="22"/>
        <v>164872.40000000002</v>
      </c>
      <c r="O37" s="239"/>
      <c r="P37" s="239"/>
      <c r="Q37" s="239"/>
      <c r="R37" s="239"/>
      <c r="S37" s="239"/>
    </row>
    <row r="38" spans="1:19" x14ac:dyDescent="0.2">
      <c r="A38" s="494" t="s">
        <v>358</v>
      </c>
      <c r="B38" s="457">
        <f>+B37</f>
        <v>1204.0000000000002</v>
      </c>
      <c r="C38" s="457">
        <f t="shared" ref="C38:M38" si="23">+B38+C37</f>
        <v>2410.8000000000002</v>
      </c>
      <c r="D38" s="457">
        <f t="shared" si="23"/>
        <v>40222.644000000008</v>
      </c>
      <c r="E38" s="457">
        <f t="shared" si="23"/>
        <v>53692.40800000001</v>
      </c>
      <c r="F38" s="457">
        <f t="shared" si="23"/>
        <v>67193.280000000013</v>
      </c>
      <c r="G38" s="457">
        <f t="shared" si="23"/>
        <v>80725.260000000009</v>
      </c>
      <c r="H38" s="457">
        <f t="shared" si="23"/>
        <v>94288.348000000013</v>
      </c>
      <c r="I38" s="457">
        <f t="shared" si="23"/>
        <v>107882.54400000001</v>
      </c>
      <c r="J38" s="457">
        <f t="shared" si="23"/>
        <v>121507.84800000003</v>
      </c>
      <c r="K38" s="457">
        <f t="shared" si="23"/>
        <v>135164.26</v>
      </c>
      <c r="L38" s="457">
        <f t="shared" si="23"/>
        <v>148851.78000000003</v>
      </c>
      <c r="M38" s="457">
        <f t="shared" si="23"/>
        <v>164872.40000000002</v>
      </c>
      <c r="N38" s="193">
        <f>+N37</f>
        <v>164872.40000000002</v>
      </c>
      <c r="O38" s="239"/>
      <c r="P38" s="239"/>
      <c r="Q38" s="239"/>
      <c r="R38" s="239"/>
      <c r="S38" s="239"/>
    </row>
    <row r="39" spans="1:19" x14ac:dyDescent="0.2">
      <c r="B39" s="190"/>
      <c r="C39" s="190"/>
      <c r="D39" s="190"/>
      <c r="E39" s="190"/>
      <c r="F39" s="190"/>
      <c r="G39" s="190"/>
      <c r="H39" s="190"/>
      <c r="I39" s="190"/>
      <c r="J39" s="190"/>
      <c r="K39" s="190"/>
      <c r="L39" s="190"/>
      <c r="M39" s="190"/>
      <c r="N39" s="190"/>
      <c r="O39" s="239"/>
      <c r="P39" s="239"/>
      <c r="Q39" s="239"/>
      <c r="R39" s="239"/>
      <c r="S39" s="239"/>
    </row>
    <row r="40" spans="1:19" x14ac:dyDescent="0.2">
      <c r="B40" s="190"/>
      <c r="C40" s="190"/>
      <c r="D40" s="190"/>
      <c r="E40" s="190"/>
      <c r="F40" s="190"/>
      <c r="G40" s="190"/>
      <c r="H40" s="190"/>
      <c r="I40" s="190"/>
      <c r="J40" s="190"/>
      <c r="K40" s="190"/>
      <c r="L40" s="190"/>
      <c r="M40" s="190"/>
      <c r="N40" s="190"/>
      <c r="O40" s="239"/>
      <c r="P40" s="239"/>
      <c r="Q40" s="239"/>
      <c r="R40" s="239"/>
      <c r="S40" s="239"/>
    </row>
    <row r="41" spans="1:19" ht="12.75" thickBot="1" x14ac:dyDescent="0.25">
      <c r="A41" s="364" t="s">
        <v>861</v>
      </c>
      <c r="B41" s="366"/>
      <c r="C41" s="366"/>
      <c r="D41" s="497"/>
      <c r="E41" s="497"/>
      <c r="F41" s="497"/>
      <c r="G41" s="366"/>
      <c r="H41" s="366"/>
      <c r="I41" s="366"/>
      <c r="J41" s="366"/>
      <c r="K41" s="366"/>
      <c r="L41" s="366"/>
      <c r="M41" s="366"/>
      <c r="N41" s="366"/>
      <c r="O41" s="239"/>
      <c r="P41" s="239"/>
      <c r="Q41" s="239"/>
      <c r="R41" s="239"/>
      <c r="S41" s="239"/>
    </row>
    <row r="42" spans="1:19" ht="12.75" thickBot="1" x14ac:dyDescent="0.25">
      <c r="A42" s="498" t="s">
        <v>351</v>
      </c>
      <c r="B42" s="499">
        <v>42005</v>
      </c>
      <c r="C42" s="499">
        <v>42036</v>
      </c>
      <c r="D42" s="499">
        <v>42064</v>
      </c>
      <c r="E42" s="499">
        <v>42095</v>
      </c>
      <c r="F42" s="499">
        <v>42125</v>
      </c>
      <c r="G42" s="499">
        <v>42156</v>
      </c>
      <c r="H42" s="499">
        <v>42186</v>
      </c>
      <c r="I42" s="499">
        <v>42217</v>
      </c>
      <c r="J42" s="499">
        <v>42248</v>
      </c>
      <c r="K42" s="499">
        <v>42278</v>
      </c>
      <c r="L42" s="499">
        <v>42309</v>
      </c>
      <c r="M42" s="499">
        <v>42339</v>
      </c>
      <c r="N42" s="500" t="s">
        <v>352</v>
      </c>
      <c r="O42" s="239"/>
      <c r="P42" s="239"/>
      <c r="Q42" s="239"/>
      <c r="R42" s="239"/>
      <c r="S42" s="239"/>
    </row>
    <row r="43" spans="1:19" x14ac:dyDescent="0.2">
      <c r="A43" s="503" t="s">
        <v>8</v>
      </c>
      <c r="B43" s="190">
        <v>430000</v>
      </c>
      <c r="C43" s="190">
        <f t="shared" ref="C43:L43" si="24">+B43+1000</f>
        <v>431000</v>
      </c>
      <c r="D43" s="190">
        <f t="shared" si="24"/>
        <v>432000</v>
      </c>
      <c r="E43" s="190">
        <f t="shared" si="24"/>
        <v>433000</v>
      </c>
      <c r="F43" s="190">
        <f t="shared" si="24"/>
        <v>434000</v>
      </c>
      <c r="G43" s="190">
        <f t="shared" si="24"/>
        <v>435000</v>
      </c>
      <c r="H43" s="190">
        <f t="shared" si="24"/>
        <v>436000</v>
      </c>
      <c r="I43" s="190">
        <f t="shared" si="24"/>
        <v>437000</v>
      </c>
      <c r="J43" s="190">
        <f t="shared" si="24"/>
        <v>438000</v>
      </c>
      <c r="K43" s="190">
        <f t="shared" si="24"/>
        <v>439000</v>
      </c>
      <c r="L43" s="190">
        <f t="shared" si="24"/>
        <v>440000</v>
      </c>
      <c r="M43" s="190">
        <f>+L43+1000+74000</f>
        <v>515000</v>
      </c>
      <c r="N43" s="493">
        <f>SUM(B43:M43)</f>
        <v>5300000</v>
      </c>
      <c r="O43" s="239"/>
      <c r="P43" s="239"/>
      <c r="Q43" s="239"/>
      <c r="R43" s="239"/>
      <c r="S43" s="239"/>
    </row>
    <row r="44" spans="1:19" x14ac:dyDescent="0.2">
      <c r="A44" s="504" t="s">
        <v>353</v>
      </c>
      <c r="B44" s="453">
        <f>+B43</f>
        <v>430000</v>
      </c>
      <c r="C44" s="453">
        <f t="shared" ref="C44:M44" si="25">+C43+B44</f>
        <v>861000</v>
      </c>
      <c r="D44" s="453">
        <f t="shared" si="25"/>
        <v>1293000</v>
      </c>
      <c r="E44" s="453">
        <f t="shared" si="25"/>
        <v>1726000</v>
      </c>
      <c r="F44" s="453">
        <f t="shared" si="25"/>
        <v>2160000</v>
      </c>
      <c r="G44" s="453">
        <f t="shared" si="25"/>
        <v>2595000</v>
      </c>
      <c r="H44" s="453">
        <f t="shared" si="25"/>
        <v>3031000</v>
      </c>
      <c r="I44" s="453">
        <f t="shared" si="25"/>
        <v>3468000</v>
      </c>
      <c r="J44" s="453">
        <f t="shared" si="25"/>
        <v>3906000</v>
      </c>
      <c r="K44" s="453">
        <f t="shared" si="25"/>
        <v>4345000</v>
      </c>
      <c r="L44" s="453">
        <f t="shared" si="25"/>
        <v>4785000</v>
      </c>
      <c r="M44" s="453">
        <f t="shared" si="25"/>
        <v>5300000</v>
      </c>
      <c r="N44" s="505">
        <f>SUM(N43:N43)</f>
        <v>5300000</v>
      </c>
      <c r="O44" s="239"/>
      <c r="P44" s="239"/>
      <c r="Q44" s="239"/>
      <c r="R44" s="239"/>
      <c r="S44" s="239"/>
    </row>
    <row r="45" spans="1:19" ht="12.75" thickBot="1" x14ac:dyDescent="0.25">
      <c r="A45" s="506" t="s">
        <v>354</v>
      </c>
      <c r="B45" s="507">
        <v>0.01</v>
      </c>
      <c r="C45" s="508">
        <f>+B45</f>
        <v>0.01</v>
      </c>
      <c r="D45" s="508">
        <v>0.1111</v>
      </c>
      <c r="E45" s="508">
        <f t="shared" ref="E45:N45" si="26">+D45</f>
        <v>0.1111</v>
      </c>
      <c r="F45" s="508">
        <f t="shared" si="26"/>
        <v>0.1111</v>
      </c>
      <c r="G45" s="508">
        <f t="shared" si="26"/>
        <v>0.1111</v>
      </c>
      <c r="H45" s="508">
        <f t="shared" si="26"/>
        <v>0.1111</v>
      </c>
      <c r="I45" s="508">
        <f t="shared" si="26"/>
        <v>0.1111</v>
      </c>
      <c r="J45" s="508">
        <f t="shared" si="26"/>
        <v>0.1111</v>
      </c>
      <c r="K45" s="508">
        <f t="shared" si="26"/>
        <v>0.1111</v>
      </c>
      <c r="L45" s="508">
        <f t="shared" si="26"/>
        <v>0.1111</v>
      </c>
      <c r="M45" s="508">
        <f t="shared" si="26"/>
        <v>0.1111</v>
      </c>
      <c r="N45" s="509">
        <f t="shared" si="26"/>
        <v>0.1111</v>
      </c>
      <c r="O45" s="239"/>
      <c r="P45" s="239"/>
      <c r="Q45" s="239"/>
      <c r="R45" s="239"/>
      <c r="S45" s="239"/>
    </row>
    <row r="46" spans="1:19" x14ac:dyDescent="0.2">
      <c r="A46" s="503" t="s">
        <v>355</v>
      </c>
      <c r="B46" s="400">
        <f t="shared" ref="B46:N46" si="27">+B44*B45</f>
        <v>4300</v>
      </c>
      <c r="C46" s="400">
        <f t="shared" si="27"/>
        <v>8610</v>
      </c>
      <c r="D46" s="400">
        <f t="shared" si="27"/>
        <v>143652.30000000002</v>
      </c>
      <c r="E46" s="400">
        <f t="shared" si="27"/>
        <v>191758.6</v>
      </c>
      <c r="F46" s="400">
        <f t="shared" si="27"/>
        <v>239976</v>
      </c>
      <c r="G46" s="400">
        <f t="shared" si="27"/>
        <v>288304.5</v>
      </c>
      <c r="H46" s="400">
        <f t="shared" si="27"/>
        <v>336744.10000000003</v>
      </c>
      <c r="I46" s="400">
        <f t="shared" si="27"/>
        <v>385294.8</v>
      </c>
      <c r="J46" s="400">
        <f t="shared" si="27"/>
        <v>433956.60000000003</v>
      </c>
      <c r="K46" s="400">
        <f t="shared" si="27"/>
        <v>482729.5</v>
      </c>
      <c r="L46" s="400">
        <f t="shared" si="27"/>
        <v>531613.5</v>
      </c>
      <c r="M46" s="400">
        <f t="shared" si="27"/>
        <v>588830</v>
      </c>
      <c r="N46" s="511">
        <f t="shared" si="27"/>
        <v>588830</v>
      </c>
      <c r="O46" s="239"/>
      <c r="P46" s="239"/>
      <c r="Q46" s="239"/>
      <c r="R46" s="239"/>
      <c r="S46" s="239"/>
    </row>
    <row r="47" spans="1:19" ht="24.75" thickBot="1" x14ac:dyDescent="0.25">
      <c r="A47" s="504" t="s">
        <v>11</v>
      </c>
      <c r="B47" s="512">
        <v>0</v>
      </c>
      <c r="C47" s="512">
        <f t="shared" ref="C47:N47" si="28">+B47</f>
        <v>0</v>
      </c>
      <c r="D47" s="512">
        <f t="shared" si="28"/>
        <v>0</v>
      </c>
      <c r="E47" s="512">
        <f t="shared" si="28"/>
        <v>0</v>
      </c>
      <c r="F47" s="512">
        <f t="shared" si="28"/>
        <v>0</v>
      </c>
      <c r="G47" s="512">
        <f t="shared" si="28"/>
        <v>0</v>
      </c>
      <c r="H47" s="512">
        <f t="shared" si="28"/>
        <v>0</v>
      </c>
      <c r="I47" s="512">
        <f t="shared" si="28"/>
        <v>0</v>
      </c>
      <c r="J47" s="512">
        <f t="shared" si="28"/>
        <v>0</v>
      </c>
      <c r="K47" s="512">
        <f t="shared" si="28"/>
        <v>0</v>
      </c>
      <c r="L47" s="512">
        <f t="shared" si="28"/>
        <v>0</v>
      </c>
      <c r="M47" s="512">
        <f t="shared" si="28"/>
        <v>0</v>
      </c>
      <c r="N47" s="513">
        <f t="shared" si="28"/>
        <v>0</v>
      </c>
      <c r="O47" s="239"/>
      <c r="P47" s="239"/>
      <c r="Q47" s="239"/>
      <c r="R47" s="239"/>
      <c r="S47" s="239"/>
    </row>
    <row r="48" spans="1:19" x14ac:dyDescent="0.2">
      <c r="A48" s="504" t="s">
        <v>356</v>
      </c>
      <c r="B48" s="400">
        <f>IF(+B46-B47&gt;0,+B46-B47,0)</f>
        <v>4300</v>
      </c>
      <c r="C48" s="400">
        <f t="shared" ref="C48:M48" si="29">IF(+C46-C47&gt;0,+C46-C47,0)</f>
        <v>8610</v>
      </c>
      <c r="D48" s="400">
        <f t="shared" si="29"/>
        <v>143652.30000000002</v>
      </c>
      <c r="E48" s="400">
        <f t="shared" si="29"/>
        <v>191758.6</v>
      </c>
      <c r="F48" s="400">
        <f t="shared" si="29"/>
        <v>239976</v>
      </c>
      <c r="G48" s="400">
        <f t="shared" si="29"/>
        <v>288304.5</v>
      </c>
      <c r="H48" s="400">
        <f t="shared" si="29"/>
        <v>336744.10000000003</v>
      </c>
      <c r="I48" s="400">
        <f t="shared" si="29"/>
        <v>385294.8</v>
      </c>
      <c r="J48" s="400">
        <f t="shared" si="29"/>
        <v>433956.60000000003</v>
      </c>
      <c r="K48" s="400">
        <f t="shared" si="29"/>
        <v>482729.5</v>
      </c>
      <c r="L48" s="400">
        <f t="shared" si="29"/>
        <v>531613.5</v>
      </c>
      <c r="M48" s="400">
        <f t="shared" si="29"/>
        <v>588830</v>
      </c>
      <c r="N48" s="511">
        <f>+N46-N47</f>
        <v>588830</v>
      </c>
      <c r="O48" s="239"/>
      <c r="P48" s="239"/>
      <c r="Q48" s="239"/>
      <c r="R48" s="239"/>
      <c r="S48" s="239"/>
    </row>
    <row r="49" spans="1:19" ht="12.75" thickBot="1" x14ac:dyDescent="0.25">
      <c r="A49" s="504" t="s">
        <v>360</v>
      </c>
      <c r="B49" s="205">
        <f>+'Acum inventario'!D156/12</f>
        <v>0</v>
      </c>
      <c r="C49" s="205">
        <f>+$B$10*2</f>
        <v>0</v>
      </c>
      <c r="D49" s="205">
        <f>+$B$10*3</f>
        <v>0</v>
      </c>
      <c r="E49" s="205">
        <f>+$B$10*4</f>
        <v>0</v>
      </c>
      <c r="F49" s="205">
        <f>+$B$10*5</f>
        <v>0</v>
      </c>
      <c r="G49" s="205">
        <f>+$B$10*6</f>
        <v>0</v>
      </c>
      <c r="H49" s="205">
        <f>+$B$10*7</f>
        <v>0</v>
      </c>
      <c r="I49" s="205">
        <f>+$B$10*8</f>
        <v>0</v>
      </c>
      <c r="J49" s="205">
        <f>+$B$10*9</f>
        <v>0</v>
      </c>
      <c r="K49" s="205">
        <f>+$B$10*10</f>
        <v>0</v>
      </c>
      <c r="L49" s="205">
        <f>+$B$10*11</f>
        <v>0</v>
      </c>
      <c r="M49" s="205">
        <f>+$B$10*12</f>
        <v>0</v>
      </c>
      <c r="N49" s="514"/>
      <c r="O49" s="239"/>
      <c r="P49" s="239"/>
      <c r="Q49" s="239"/>
      <c r="R49" s="239"/>
      <c r="S49" s="239"/>
    </row>
    <row r="50" spans="1:19" x14ac:dyDescent="0.2">
      <c r="A50" s="503" t="s">
        <v>393</v>
      </c>
      <c r="B50" s="400">
        <f t="shared" ref="B50:M50" si="30">SUM(B48:B49)</f>
        <v>4300</v>
      </c>
      <c r="C50" s="400">
        <f t="shared" si="30"/>
        <v>8610</v>
      </c>
      <c r="D50" s="400">
        <f t="shared" si="30"/>
        <v>143652.30000000002</v>
      </c>
      <c r="E50" s="400">
        <f t="shared" si="30"/>
        <v>191758.6</v>
      </c>
      <c r="F50" s="400">
        <f t="shared" si="30"/>
        <v>239976</v>
      </c>
      <c r="G50" s="400">
        <f t="shared" si="30"/>
        <v>288304.5</v>
      </c>
      <c r="H50" s="400">
        <f t="shared" si="30"/>
        <v>336744.10000000003</v>
      </c>
      <c r="I50" s="400">
        <f t="shared" si="30"/>
        <v>385294.8</v>
      </c>
      <c r="J50" s="400">
        <f t="shared" si="30"/>
        <v>433956.60000000003</v>
      </c>
      <c r="K50" s="400">
        <f t="shared" si="30"/>
        <v>482729.5</v>
      </c>
      <c r="L50" s="400">
        <f t="shared" si="30"/>
        <v>531613.5</v>
      </c>
      <c r="M50" s="400">
        <f t="shared" si="30"/>
        <v>588830</v>
      </c>
      <c r="N50" s="511"/>
    </row>
    <row r="51" spans="1:19" x14ac:dyDescent="0.2">
      <c r="A51" s="411" t="s">
        <v>10</v>
      </c>
      <c r="B51" s="193">
        <f>+B50*0.29</f>
        <v>1247</v>
      </c>
      <c r="C51" s="193">
        <f t="shared" ref="C51:N51" si="31">+C50*0.29</f>
        <v>2496.8999999999996</v>
      </c>
      <c r="D51" s="193">
        <f t="shared" si="31"/>
        <v>41659.167000000001</v>
      </c>
      <c r="E51" s="193">
        <f t="shared" si="31"/>
        <v>55609.993999999999</v>
      </c>
      <c r="F51" s="193">
        <f t="shared" si="31"/>
        <v>69593.039999999994</v>
      </c>
      <c r="G51" s="193">
        <f t="shared" si="31"/>
        <v>83608.304999999993</v>
      </c>
      <c r="H51" s="193">
        <f t="shared" si="31"/>
        <v>97655.789000000004</v>
      </c>
      <c r="I51" s="193">
        <f t="shared" si="31"/>
        <v>111735.49199999998</v>
      </c>
      <c r="J51" s="193">
        <f t="shared" si="31"/>
        <v>125847.414</v>
      </c>
      <c r="K51" s="193">
        <f t="shared" si="31"/>
        <v>139991.55499999999</v>
      </c>
      <c r="L51" s="193">
        <f t="shared" si="31"/>
        <v>154167.91499999998</v>
      </c>
      <c r="M51" s="457">
        <f t="shared" si="31"/>
        <v>170760.69999999998</v>
      </c>
      <c r="N51" s="193">
        <f t="shared" si="31"/>
        <v>0</v>
      </c>
    </row>
    <row r="52" spans="1:19" x14ac:dyDescent="0.2">
      <c r="A52" s="504" t="s">
        <v>394</v>
      </c>
      <c r="B52" s="246"/>
      <c r="C52" s="246"/>
      <c r="D52" s="246"/>
      <c r="E52" s="246"/>
      <c r="F52" s="246"/>
      <c r="G52" s="246"/>
      <c r="H52" s="246"/>
      <c r="I52" s="246"/>
      <c r="J52" s="246"/>
      <c r="K52" s="246"/>
      <c r="L52" s="246"/>
      <c r="M52" s="246"/>
      <c r="N52" s="453">
        <f>SUM(B52:M52)</f>
        <v>0</v>
      </c>
    </row>
    <row r="53" spans="1:19" ht="12.75" thickBot="1" x14ac:dyDescent="0.25">
      <c r="A53" s="515" t="s">
        <v>395</v>
      </c>
      <c r="B53" s="205">
        <v>0</v>
      </c>
      <c r="C53" s="205">
        <f t="shared" ref="C53:M53" si="32">+B53+B54</f>
        <v>1247</v>
      </c>
      <c r="D53" s="205">
        <f t="shared" si="32"/>
        <v>2496.8999999999996</v>
      </c>
      <c r="E53" s="205">
        <f t="shared" si="32"/>
        <v>41659.167000000001</v>
      </c>
      <c r="F53" s="205">
        <f t="shared" si="32"/>
        <v>55609.993999999999</v>
      </c>
      <c r="G53" s="205">
        <f t="shared" si="32"/>
        <v>69593.039999999994</v>
      </c>
      <c r="H53" s="205">
        <f t="shared" si="32"/>
        <v>83608.304999999993</v>
      </c>
      <c r="I53" s="205">
        <f t="shared" si="32"/>
        <v>97655.789000000004</v>
      </c>
      <c r="J53" s="205">
        <f t="shared" si="32"/>
        <v>111735.49199999998</v>
      </c>
      <c r="K53" s="205">
        <f t="shared" si="32"/>
        <v>125847.414</v>
      </c>
      <c r="L53" s="205">
        <f t="shared" si="32"/>
        <v>139991.55499999999</v>
      </c>
      <c r="M53" s="205">
        <f t="shared" si="32"/>
        <v>154167.91499999998</v>
      </c>
      <c r="N53" s="205">
        <v>0</v>
      </c>
    </row>
    <row r="54" spans="1:19" ht="12.75" thickBot="1" x14ac:dyDescent="0.25">
      <c r="A54" s="516" t="s">
        <v>396</v>
      </c>
      <c r="B54" s="517">
        <f t="shared" ref="B54:M54" si="33">IF((B51-B52-B53)&gt;0,(B51-B52-B53),0)</f>
        <v>1247</v>
      </c>
      <c r="C54" s="517">
        <f t="shared" si="33"/>
        <v>1249.8999999999996</v>
      </c>
      <c r="D54" s="517">
        <f t="shared" si="33"/>
        <v>39162.267</v>
      </c>
      <c r="E54" s="517">
        <f t="shared" si="33"/>
        <v>13950.826999999997</v>
      </c>
      <c r="F54" s="517">
        <f t="shared" si="33"/>
        <v>13983.045999999995</v>
      </c>
      <c r="G54" s="517">
        <f t="shared" si="33"/>
        <v>14015.264999999999</v>
      </c>
      <c r="H54" s="517">
        <f t="shared" si="33"/>
        <v>14047.484000000011</v>
      </c>
      <c r="I54" s="517">
        <f t="shared" si="33"/>
        <v>14079.70299999998</v>
      </c>
      <c r="J54" s="517">
        <f t="shared" si="33"/>
        <v>14111.92200000002</v>
      </c>
      <c r="K54" s="517">
        <f t="shared" si="33"/>
        <v>14144.140999999989</v>
      </c>
      <c r="L54" s="517">
        <f t="shared" si="33"/>
        <v>14176.359999999986</v>
      </c>
      <c r="M54" s="517">
        <f t="shared" si="33"/>
        <v>16592.785000000003</v>
      </c>
      <c r="N54" s="453">
        <f>SUM(B54:M54)</f>
        <v>170760.69999999998</v>
      </c>
    </row>
    <row r="55" spans="1:19" x14ac:dyDescent="0.2">
      <c r="A55" s="518" t="s">
        <v>397</v>
      </c>
      <c r="B55" s="245"/>
      <c r="C55" s="245"/>
      <c r="D55" s="245"/>
      <c r="E55" s="245"/>
      <c r="F55" s="245">
        <v>0</v>
      </c>
      <c r="G55" s="245">
        <v>0</v>
      </c>
      <c r="H55" s="245">
        <v>0</v>
      </c>
      <c r="I55" s="245">
        <v>0</v>
      </c>
      <c r="J55" s="245">
        <v>0</v>
      </c>
      <c r="K55" s="245">
        <v>0</v>
      </c>
      <c r="L55" s="245">
        <v>0</v>
      </c>
      <c r="M55" s="245">
        <v>0</v>
      </c>
      <c r="N55" s="493">
        <f>SUM(B55:M55)</f>
        <v>0</v>
      </c>
    </row>
    <row r="56" spans="1:19" x14ac:dyDescent="0.2">
      <c r="A56" s="411" t="s">
        <v>357</v>
      </c>
      <c r="B56" s="193">
        <f t="shared" ref="B56:N56" si="34">+B54-B55</f>
        <v>1247</v>
      </c>
      <c r="C56" s="193">
        <f t="shared" si="34"/>
        <v>1249.8999999999996</v>
      </c>
      <c r="D56" s="193">
        <f t="shared" si="34"/>
        <v>39162.267</v>
      </c>
      <c r="E56" s="193">
        <f t="shared" si="34"/>
        <v>13950.826999999997</v>
      </c>
      <c r="F56" s="193">
        <f t="shared" si="34"/>
        <v>13983.045999999995</v>
      </c>
      <c r="G56" s="193">
        <f t="shared" si="34"/>
        <v>14015.264999999999</v>
      </c>
      <c r="H56" s="193">
        <f t="shared" si="34"/>
        <v>14047.484000000011</v>
      </c>
      <c r="I56" s="193">
        <f t="shared" si="34"/>
        <v>14079.70299999998</v>
      </c>
      <c r="J56" s="193">
        <f t="shared" si="34"/>
        <v>14111.92200000002</v>
      </c>
      <c r="K56" s="193">
        <f t="shared" si="34"/>
        <v>14144.140999999989</v>
      </c>
      <c r="L56" s="193">
        <f t="shared" si="34"/>
        <v>14176.359999999986</v>
      </c>
      <c r="M56" s="193">
        <f t="shared" si="34"/>
        <v>16592.785000000003</v>
      </c>
      <c r="N56" s="457">
        <f t="shared" si="34"/>
        <v>170760.69999999998</v>
      </c>
    </row>
    <row r="57" spans="1:19" x14ac:dyDescent="0.2">
      <c r="A57" s="494" t="s">
        <v>358</v>
      </c>
      <c r="B57" s="457">
        <f>+B56</f>
        <v>1247</v>
      </c>
      <c r="C57" s="457">
        <f t="shared" ref="C57:M57" si="35">+B57+C56</f>
        <v>2496.8999999999996</v>
      </c>
      <c r="D57" s="457">
        <f t="shared" si="35"/>
        <v>41659.167000000001</v>
      </c>
      <c r="E57" s="457">
        <f t="shared" si="35"/>
        <v>55609.993999999999</v>
      </c>
      <c r="F57" s="457">
        <f t="shared" si="35"/>
        <v>69593.039999999994</v>
      </c>
      <c r="G57" s="457">
        <f t="shared" si="35"/>
        <v>83608.304999999993</v>
      </c>
      <c r="H57" s="457">
        <f t="shared" si="35"/>
        <v>97655.789000000004</v>
      </c>
      <c r="I57" s="457">
        <f t="shared" si="35"/>
        <v>111735.49199999998</v>
      </c>
      <c r="J57" s="457">
        <f t="shared" si="35"/>
        <v>125847.414</v>
      </c>
      <c r="K57" s="457">
        <f t="shared" si="35"/>
        <v>139991.55499999999</v>
      </c>
      <c r="L57" s="457">
        <f t="shared" si="35"/>
        <v>154167.91499999998</v>
      </c>
      <c r="M57" s="457">
        <f t="shared" si="35"/>
        <v>170760.69999999998</v>
      </c>
      <c r="N57" s="193">
        <f>+N56</f>
        <v>170760.69999999998</v>
      </c>
    </row>
  </sheetData>
  <phoneticPr fontId="11" type="noConversion"/>
  <pageMargins left="0.75" right="0.75" top="1" bottom="1"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topLeftCell="A163" zoomScale="125" workbookViewId="0">
      <selection activeCell="A164" sqref="A164:G164"/>
    </sheetView>
  </sheetViews>
  <sheetFormatPr baseColWidth="10" defaultRowHeight="12.75" x14ac:dyDescent="0.2"/>
  <cols>
    <col min="1" max="1" width="11.42578125" style="1"/>
    <col min="2" max="2" width="12.5703125" style="1" customWidth="1"/>
    <col min="3" max="3" width="0.85546875" style="1" customWidth="1"/>
    <col min="4" max="4" width="13.42578125" style="1" bestFit="1" customWidth="1"/>
    <col min="5" max="5" width="11.42578125" style="1"/>
    <col min="6" max="6" width="11.7109375" style="1" customWidth="1"/>
    <col min="7" max="7" width="11.140625" style="1" customWidth="1"/>
    <col min="8" max="16384" width="11.42578125" style="1"/>
  </cols>
  <sheetData>
    <row r="1" spans="1:7" ht="15.75" x14ac:dyDescent="0.25">
      <c r="A1" s="949" t="str">
        <f>+ER!A1</f>
        <v>Empresa Comercial, SA de CV</v>
      </c>
      <c r="B1" s="949"/>
      <c r="C1" s="949"/>
      <c r="D1" s="949"/>
      <c r="E1" s="949"/>
      <c r="F1" s="949"/>
      <c r="G1" s="949"/>
    </row>
    <row r="2" spans="1:7" ht="15.75" x14ac:dyDescent="0.25">
      <c r="A2" s="955"/>
      <c r="B2" s="955"/>
      <c r="C2" s="955"/>
      <c r="D2" s="955"/>
      <c r="E2" s="955"/>
      <c r="F2" s="955"/>
      <c r="G2" s="955"/>
    </row>
    <row r="3" spans="1:7" ht="15.75" customHeight="1" x14ac:dyDescent="0.2">
      <c r="A3" s="947" t="s">
        <v>320</v>
      </c>
      <c r="B3" s="947"/>
      <c r="C3" s="947"/>
      <c r="D3" s="947"/>
      <c r="E3" s="947"/>
      <c r="F3" s="947"/>
      <c r="G3" s="947"/>
    </row>
    <row r="4" spans="1:7" ht="15.75" customHeight="1" x14ac:dyDescent="0.2">
      <c r="A4" s="947"/>
      <c r="B4" s="947"/>
      <c r="C4" s="947"/>
      <c r="D4" s="947"/>
      <c r="E4" s="947"/>
      <c r="F4" s="947"/>
      <c r="G4" s="947"/>
    </row>
    <row r="5" spans="1:7" ht="18" customHeight="1" x14ac:dyDescent="0.2">
      <c r="A5" s="950" t="s">
        <v>862</v>
      </c>
      <c r="B5" s="950"/>
      <c r="C5" s="950"/>
      <c r="D5" s="950"/>
      <c r="E5" s="950"/>
      <c r="F5" s="950"/>
      <c r="G5" s="950"/>
    </row>
    <row r="6" spans="1:7" x14ac:dyDescent="0.2">
      <c r="A6" s="944"/>
      <c r="B6" s="944"/>
      <c r="C6" s="944"/>
      <c r="D6" s="944"/>
      <c r="G6" s="20"/>
    </row>
    <row r="7" spans="1:7" x14ac:dyDescent="0.2">
      <c r="A7" s="944" t="s">
        <v>298</v>
      </c>
      <c r="B7" s="944"/>
      <c r="C7" s="944"/>
      <c r="D7" s="944"/>
      <c r="F7" s="1">
        <f>+ER!B5</f>
        <v>8000000</v>
      </c>
      <c r="G7" s="20">
        <v>1</v>
      </c>
    </row>
    <row r="8" spans="1:7" x14ac:dyDescent="0.2">
      <c r="A8" s="944" t="s">
        <v>299</v>
      </c>
      <c r="B8" s="944"/>
      <c r="C8" s="944"/>
      <c r="D8" s="944"/>
      <c r="G8" s="20"/>
    </row>
    <row r="9" spans="1:7" x14ac:dyDescent="0.2">
      <c r="A9" s="944" t="s">
        <v>300</v>
      </c>
      <c r="B9" s="944"/>
      <c r="C9" s="944"/>
      <c r="D9" s="944"/>
      <c r="E9" s="1">
        <f>+ER!B8</f>
        <v>-51000</v>
      </c>
      <c r="G9" s="20"/>
    </row>
    <row r="10" spans="1:7" x14ac:dyDescent="0.2">
      <c r="A10" s="944" t="s">
        <v>301</v>
      </c>
      <c r="B10" s="944"/>
      <c r="C10" s="944"/>
      <c r="D10" s="944"/>
      <c r="E10" s="1">
        <f>+ER!B9</f>
        <v>-53000</v>
      </c>
      <c r="G10" s="20"/>
    </row>
    <row r="11" spans="1:7" x14ac:dyDescent="0.2">
      <c r="A11" s="944" t="s">
        <v>302</v>
      </c>
      <c r="B11" s="944"/>
      <c r="C11" s="944"/>
      <c r="D11" s="944"/>
      <c r="E11" s="3">
        <f>+ER!B10</f>
        <v>-53000</v>
      </c>
      <c r="F11" s="3">
        <f>SUM(E9:E11)</f>
        <v>-157000</v>
      </c>
      <c r="G11" s="20">
        <f>+F11/F7</f>
        <v>-1.9625E-2</v>
      </c>
    </row>
    <row r="12" spans="1:7" x14ac:dyDescent="0.2">
      <c r="A12" s="945" t="s">
        <v>277</v>
      </c>
      <c r="B12" s="945"/>
      <c r="C12" s="945"/>
      <c r="D12" s="945"/>
      <c r="F12" s="1">
        <f>SUM(F7:F11)</f>
        <v>7843000</v>
      </c>
      <c r="G12" s="20">
        <f>+F12/F7</f>
        <v>0.980375</v>
      </c>
    </row>
    <row r="13" spans="1:7" x14ac:dyDescent="0.2">
      <c r="A13" s="944" t="s">
        <v>299</v>
      </c>
      <c r="B13" s="944"/>
      <c r="C13" s="944"/>
      <c r="D13" s="944"/>
      <c r="G13" s="20"/>
    </row>
    <row r="14" spans="1:7" x14ac:dyDescent="0.2">
      <c r="A14" s="945" t="s">
        <v>337</v>
      </c>
      <c r="B14" s="945"/>
      <c r="C14" s="945"/>
      <c r="D14" s="945"/>
      <c r="E14" s="945"/>
      <c r="F14" s="945"/>
      <c r="G14" s="945"/>
    </row>
    <row r="15" spans="1:7" x14ac:dyDescent="0.2">
      <c r="A15" s="944" t="s">
        <v>303</v>
      </c>
      <c r="B15" s="944"/>
      <c r="C15" s="944"/>
      <c r="D15" s="944"/>
      <c r="E15" s="1">
        <f>+ER!B14</f>
        <v>1130000</v>
      </c>
      <c r="G15" s="20">
        <f>+E15/F7</f>
        <v>0.14124999999999999</v>
      </c>
    </row>
    <row r="16" spans="1:7" x14ac:dyDescent="0.2">
      <c r="A16" s="944" t="s">
        <v>308</v>
      </c>
      <c r="B16" s="944"/>
      <c r="C16" s="944"/>
      <c r="D16" s="944"/>
      <c r="G16" s="20"/>
    </row>
    <row r="17" spans="1:7" x14ac:dyDescent="0.2">
      <c r="A17" s="944" t="s">
        <v>304</v>
      </c>
      <c r="B17" s="944"/>
      <c r="C17" s="944"/>
      <c r="D17" s="944"/>
      <c r="E17" s="1">
        <f>+ER!B16+ER!B17</f>
        <v>6620000</v>
      </c>
      <c r="G17" s="20">
        <f>+E17/F7</f>
        <v>0.82750000000000001</v>
      </c>
    </row>
    <row r="18" spans="1:7" x14ac:dyDescent="0.2">
      <c r="A18" s="944" t="s">
        <v>305</v>
      </c>
      <c r="B18" s="944"/>
      <c r="C18" s="944"/>
      <c r="D18" s="944"/>
      <c r="E18" s="1">
        <f>+ER!B18</f>
        <v>-47000</v>
      </c>
      <c r="G18" s="20">
        <f>+E18/F7</f>
        <v>-5.875E-3</v>
      </c>
    </row>
    <row r="19" spans="1:7" x14ac:dyDescent="0.2">
      <c r="A19" s="944" t="s">
        <v>306</v>
      </c>
      <c r="B19" s="944"/>
      <c r="C19" s="944"/>
      <c r="D19" s="944"/>
      <c r="E19" s="1">
        <f>+ER!B19</f>
        <v>-31000</v>
      </c>
      <c r="F19" s="2"/>
      <c r="G19" s="20">
        <f>+E19/F7</f>
        <v>-3.875E-3</v>
      </c>
    </row>
    <row r="20" spans="1:7" x14ac:dyDescent="0.2">
      <c r="A20" s="944" t="s">
        <v>307</v>
      </c>
      <c r="B20" s="944"/>
      <c r="C20" s="944"/>
      <c r="D20" s="944"/>
      <c r="E20" s="3">
        <f>+ER!B20</f>
        <v>171000</v>
      </c>
      <c r="F20" s="2"/>
      <c r="G20" s="20">
        <f>+E20/F7</f>
        <v>2.1375000000000002E-2</v>
      </c>
    </row>
    <row r="21" spans="1:7" x14ac:dyDescent="0.2">
      <c r="A21" s="944"/>
      <c r="B21" s="944"/>
      <c r="C21" s="944"/>
      <c r="D21" s="944"/>
      <c r="E21" s="19">
        <f>SUM(E17:E20)</f>
        <v>6713000</v>
      </c>
      <c r="F21" s="2"/>
      <c r="G21" s="20">
        <f>+E21/F7</f>
        <v>0.83912500000000001</v>
      </c>
    </row>
    <row r="22" spans="1:7" x14ac:dyDescent="0.2">
      <c r="A22" s="944" t="s">
        <v>309</v>
      </c>
      <c r="B22" s="944"/>
      <c r="C22" s="944"/>
      <c r="D22" s="944"/>
      <c r="E22" s="2">
        <f>+E15+E21</f>
        <v>7843000</v>
      </c>
      <c r="F22" s="2"/>
      <c r="G22" s="20">
        <f>+E22/F7</f>
        <v>0.980375</v>
      </c>
    </row>
    <row r="23" spans="1:7" x14ac:dyDescent="0.2">
      <c r="A23" s="944" t="s">
        <v>310</v>
      </c>
      <c r="B23" s="944"/>
      <c r="C23" s="944"/>
      <c r="D23" s="944"/>
      <c r="E23" s="3">
        <f>+ER!B23</f>
        <v>1130000</v>
      </c>
      <c r="F23" s="2"/>
      <c r="G23" s="20">
        <f>+E23/F7</f>
        <v>0.14124999999999999</v>
      </c>
    </row>
    <row r="24" spans="1:7" x14ac:dyDescent="0.2">
      <c r="A24" s="944" t="s">
        <v>409</v>
      </c>
      <c r="B24" s="944"/>
      <c r="C24" s="944"/>
      <c r="D24" s="944"/>
      <c r="E24" s="2"/>
      <c r="F24" s="3">
        <f>+E22+E23</f>
        <v>8973000</v>
      </c>
      <c r="G24" s="20">
        <f>+F24/F7</f>
        <v>1.1216250000000001</v>
      </c>
    </row>
    <row r="25" spans="1:7" x14ac:dyDescent="0.2">
      <c r="A25" s="945" t="s">
        <v>311</v>
      </c>
      <c r="B25" s="945"/>
      <c r="C25" s="945"/>
      <c r="D25" s="945"/>
      <c r="F25" s="1">
        <f>+F12-F24</f>
        <v>-1130000</v>
      </c>
      <c r="G25" s="20">
        <f>+F25/F7</f>
        <v>-0.14124999999999999</v>
      </c>
    </row>
    <row r="26" spans="1:7" x14ac:dyDescent="0.2">
      <c r="A26" s="945" t="s">
        <v>313</v>
      </c>
      <c r="B26" s="945"/>
      <c r="C26" s="945"/>
      <c r="D26" s="945"/>
      <c r="G26" s="20"/>
    </row>
    <row r="27" spans="1:7" x14ac:dyDescent="0.2">
      <c r="A27" s="954" t="s">
        <v>314</v>
      </c>
      <c r="B27" s="954"/>
      <c r="C27" s="954"/>
      <c r="D27" s="954"/>
      <c r="E27" s="2"/>
      <c r="F27" s="1">
        <f>+ER!B28</f>
        <v>137000</v>
      </c>
      <c r="G27" s="20">
        <f>+F27/F7</f>
        <v>1.7125000000000001E-2</v>
      </c>
    </row>
    <row r="28" spans="1:7" x14ac:dyDescent="0.2">
      <c r="A28" s="954" t="s">
        <v>315</v>
      </c>
      <c r="B28" s="954"/>
      <c r="C28" s="954"/>
      <c r="D28" s="954"/>
      <c r="E28" s="2"/>
      <c r="F28" s="1">
        <f>+ER!B29</f>
        <v>341000</v>
      </c>
      <c r="G28" s="20">
        <f>+F28/F7</f>
        <v>4.2625000000000003E-2</v>
      </c>
    </row>
    <row r="29" spans="1:7" x14ac:dyDescent="0.2">
      <c r="A29" s="945" t="s">
        <v>316</v>
      </c>
      <c r="B29" s="945"/>
      <c r="C29" s="945"/>
      <c r="D29" s="945"/>
      <c r="E29" s="2"/>
      <c r="F29" s="1">
        <f>+F25-F27-F28</f>
        <v>-1608000</v>
      </c>
      <c r="G29" s="20">
        <f>+F29/F7</f>
        <v>-0.20100000000000001</v>
      </c>
    </row>
    <row r="30" spans="1:7" x14ac:dyDescent="0.2">
      <c r="A30" s="944" t="s">
        <v>417</v>
      </c>
      <c r="B30" s="944"/>
      <c r="C30" s="944"/>
      <c r="D30" s="944"/>
      <c r="E30" s="1">
        <f>+ER!B37+ER!B44</f>
        <v>-55949</v>
      </c>
      <c r="G30" s="20"/>
    </row>
    <row r="31" spans="1:7" x14ac:dyDescent="0.2">
      <c r="A31" s="944" t="s">
        <v>410</v>
      </c>
      <c r="B31" s="944"/>
      <c r="C31" s="944"/>
      <c r="D31" s="944"/>
      <c r="E31" s="1">
        <f>+ER!B39</f>
        <v>-7100</v>
      </c>
      <c r="G31" s="20"/>
    </row>
    <row r="32" spans="1:7" x14ac:dyDescent="0.2">
      <c r="A32" s="944" t="s">
        <v>411</v>
      </c>
      <c r="B32" s="944"/>
      <c r="C32" s="944"/>
      <c r="D32" s="944"/>
      <c r="E32" s="3">
        <f>+ER!B42</f>
        <v>4100</v>
      </c>
      <c r="F32" s="3">
        <f>SUM(E30:E32)</f>
        <v>-58949</v>
      </c>
      <c r="G32" s="20">
        <f>+F32/F7</f>
        <v>-7.3686250000000002E-3</v>
      </c>
    </row>
    <row r="33" spans="1:7" x14ac:dyDescent="0.2">
      <c r="A33" s="945" t="s">
        <v>317</v>
      </c>
      <c r="B33" s="945"/>
      <c r="C33" s="945"/>
      <c r="D33" s="945"/>
      <c r="E33" s="2"/>
      <c r="F33" s="2">
        <f>+F29-F32</f>
        <v>-1549051</v>
      </c>
      <c r="G33" s="20">
        <f>+F33/F7</f>
        <v>-0.19363137499999999</v>
      </c>
    </row>
    <row r="34" spans="1:7" x14ac:dyDescent="0.2">
      <c r="A34" s="944" t="s">
        <v>412</v>
      </c>
      <c r="B34" s="944"/>
      <c r="C34" s="944"/>
      <c r="D34" s="944"/>
      <c r="E34" s="2">
        <f>+F33*0.37</f>
        <v>-573148.87</v>
      </c>
      <c r="F34" s="2"/>
      <c r="G34" s="20"/>
    </row>
    <row r="35" spans="1:7" x14ac:dyDescent="0.2">
      <c r="A35" s="944" t="s">
        <v>413</v>
      </c>
      <c r="B35" s="944"/>
      <c r="C35" s="944"/>
      <c r="D35" s="944"/>
      <c r="E35" s="2">
        <f>+F33*0.1</f>
        <v>-154905.1</v>
      </c>
      <c r="F35" s="2"/>
      <c r="G35" s="20"/>
    </row>
    <row r="36" spans="1:7" x14ac:dyDescent="0.2">
      <c r="A36" s="944" t="s">
        <v>414</v>
      </c>
      <c r="B36" s="944"/>
      <c r="C36" s="944"/>
      <c r="D36" s="944"/>
      <c r="E36" s="2">
        <f>+F33*0.07</f>
        <v>-108433.57</v>
      </c>
      <c r="F36" s="2"/>
      <c r="G36" s="20"/>
    </row>
    <row r="37" spans="1:7" x14ac:dyDescent="0.2">
      <c r="A37" s="944" t="s">
        <v>415</v>
      </c>
      <c r="B37" s="944"/>
      <c r="C37" s="944"/>
      <c r="D37" s="944"/>
      <c r="E37" s="3">
        <f>+F33*0.03</f>
        <v>-46471.53</v>
      </c>
      <c r="F37" s="2">
        <f>SUM(E34:E37)</f>
        <v>-882959.07000000007</v>
      </c>
      <c r="G37" s="20">
        <f>+F37/F7</f>
        <v>-0.11036988375000001</v>
      </c>
    </row>
    <row r="38" spans="1:7" ht="13.5" thickBot="1" x14ac:dyDescent="0.25">
      <c r="A38" s="945" t="s">
        <v>416</v>
      </c>
      <c r="B38" s="945"/>
      <c r="C38" s="945"/>
      <c r="D38" s="945"/>
      <c r="E38" s="2"/>
      <c r="F38" s="6">
        <f>+F33-F37</f>
        <v>-666091.92999999993</v>
      </c>
      <c r="G38" s="20">
        <f>+F38/F7</f>
        <v>-8.3261491249999986E-2</v>
      </c>
    </row>
    <row r="39" spans="1:7" ht="13.5" thickTop="1" x14ac:dyDescent="0.2">
      <c r="A39" s="953"/>
      <c r="B39" s="953"/>
      <c r="C39" s="953"/>
      <c r="D39" s="953"/>
      <c r="E39" s="953"/>
      <c r="F39" s="953"/>
      <c r="G39" s="953"/>
    </row>
    <row r="40" spans="1:7" x14ac:dyDescent="0.2">
      <c r="A40" s="528"/>
      <c r="B40" s="528"/>
      <c r="C40" s="528"/>
      <c r="D40" s="528"/>
      <c r="E40" s="528"/>
      <c r="F40" s="528"/>
      <c r="G40" s="528"/>
    </row>
    <row r="41" spans="1:7" x14ac:dyDescent="0.2">
      <c r="A41" s="1" t="s">
        <v>346</v>
      </c>
      <c r="E41" s="2"/>
    </row>
    <row r="42" spans="1:7" x14ac:dyDescent="0.2">
      <c r="A42" s="946"/>
      <c r="B42" s="946"/>
      <c r="C42" s="946"/>
      <c r="D42" s="946"/>
      <c r="E42" s="946"/>
      <c r="F42" s="946"/>
      <c r="G42" s="946"/>
    </row>
    <row r="43" spans="1:7" ht="15.75" x14ac:dyDescent="0.25">
      <c r="A43" s="949" t="s">
        <v>336</v>
      </c>
      <c r="B43" s="949"/>
      <c r="C43" s="949"/>
      <c r="D43" s="949"/>
      <c r="E43" s="949"/>
      <c r="F43" s="949"/>
      <c r="G43" s="949"/>
    </row>
    <row r="44" spans="1:7" ht="15.75" x14ac:dyDescent="0.25">
      <c r="A44" s="955"/>
      <c r="B44" s="955"/>
      <c r="C44" s="955"/>
      <c r="D44" s="955"/>
      <c r="E44" s="955"/>
      <c r="F44" s="955"/>
      <c r="G44" s="955"/>
    </row>
    <row r="45" spans="1:7" ht="14.25" customHeight="1" x14ac:dyDescent="0.2">
      <c r="A45" s="947" t="s">
        <v>320</v>
      </c>
      <c r="B45" s="947"/>
      <c r="C45" s="947"/>
      <c r="D45" s="947"/>
      <c r="E45" s="947"/>
      <c r="F45" s="947"/>
      <c r="G45" s="947"/>
    </row>
    <row r="46" spans="1:7" ht="14.25" customHeight="1" x14ac:dyDescent="0.2">
      <c r="A46" s="947"/>
      <c r="B46" s="947"/>
      <c r="C46" s="947"/>
      <c r="D46" s="947"/>
      <c r="E46" s="947"/>
      <c r="F46" s="947"/>
      <c r="G46" s="947"/>
    </row>
    <row r="47" spans="1:7" ht="15" customHeight="1" x14ac:dyDescent="0.2">
      <c r="A47" s="950" t="s">
        <v>522</v>
      </c>
      <c r="B47" s="950"/>
      <c r="C47" s="950"/>
      <c r="D47" s="950"/>
      <c r="E47" s="950"/>
      <c r="F47" s="950"/>
      <c r="G47" s="950"/>
    </row>
    <row r="48" spans="1:7" ht="15" customHeight="1" x14ac:dyDescent="0.2">
      <c r="A48" s="950"/>
      <c r="B48" s="950"/>
      <c r="C48" s="950"/>
      <c r="D48" s="950"/>
      <c r="E48" s="950"/>
      <c r="F48" s="950"/>
      <c r="G48" s="950"/>
    </row>
    <row r="49" spans="1:7" x14ac:dyDescent="0.2">
      <c r="A49" s="944" t="s">
        <v>298</v>
      </c>
      <c r="B49" s="944"/>
      <c r="C49" s="944"/>
      <c r="D49" s="944"/>
      <c r="F49" s="1">
        <v>9000000</v>
      </c>
      <c r="G49" s="20">
        <v>1</v>
      </c>
    </row>
    <row r="50" spans="1:7" x14ac:dyDescent="0.2">
      <c r="A50" s="944" t="s">
        <v>299</v>
      </c>
      <c r="B50" s="944"/>
      <c r="C50" s="944"/>
      <c r="D50" s="944"/>
      <c r="G50" s="20"/>
    </row>
    <row r="51" spans="1:7" x14ac:dyDescent="0.2">
      <c r="A51" s="944" t="s">
        <v>300</v>
      </c>
      <c r="B51" s="944"/>
      <c r="C51" s="944"/>
      <c r="D51" s="944"/>
      <c r="E51" s="1">
        <v>-28000</v>
      </c>
      <c r="G51" s="20"/>
    </row>
    <row r="52" spans="1:7" x14ac:dyDescent="0.2">
      <c r="A52" s="944" t="s">
        <v>301</v>
      </c>
      <c r="B52" s="944"/>
      <c r="C52" s="944"/>
      <c r="D52" s="944"/>
      <c r="E52" s="1">
        <v>-27000</v>
      </c>
      <c r="G52" s="20"/>
    </row>
    <row r="53" spans="1:7" x14ac:dyDescent="0.2">
      <c r="A53" s="944" t="s">
        <v>302</v>
      </c>
      <c r="B53" s="944"/>
      <c r="C53" s="944"/>
      <c r="D53" s="944"/>
      <c r="E53" s="3">
        <v>-12000</v>
      </c>
      <c r="F53" s="3">
        <f>SUM(E51:E53)</f>
        <v>-67000</v>
      </c>
      <c r="G53" s="20">
        <f>+F53/F49</f>
        <v>-7.4444444444444445E-3</v>
      </c>
    </row>
    <row r="54" spans="1:7" x14ac:dyDescent="0.2">
      <c r="A54" s="944" t="s">
        <v>277</v>
      </c>
      <c r="B54" s="944"/>
      <c r="C54" s="944"/>
      <c r="D54" s="944"/>
      <c r="F54" s="1">
        <f>SUM(F49:F53)</f>
        <v>8933000</v>
      </c>
      <c r="G54" s="20"/>
    </row>
    <row r="55" spans="1:7" x14ac:dyDescent="0.2">
      <c r="A55" s="944" t="s">
        <v>299</v>
      </c>
      <c r="B55" s="944"/>
      <c r="C55" s="944"/>
      <c r="D55" s="944"/>
      <c r="G55" s="20"/>
    </row>
    <row r="56" spans="1:7" x14ac:dyDescent="0.2">
      <c r="A56" s="945" t="s">
        <v>335</v>
      </c>
      <c r="B56" s="945"/>
      <c r="C56" s="945"/>
      <c r="D56" s="945"/>
      <c r="F56" s="7">
        <f>+G100</f>
        <v>7410290</v>
      </c>
      <c r="G56" s="20">
        <f>+F56/F49</f>
        <v>0.82336555555555557</v>
      </c>
    </row>
    <row r="57" spans="1:7" x14ac:dyDescent="0.2">
      <c r="A57" s="945" t="s">
        <v>311</v>
      </c>
      <c r="B57" s="945"/>
      <c r="C57" s="945"/>
      <c r="D57" s="945"/>
      <c r="F57" s="1">
        <f>+F54-F56</f>
        <v>1522710</v>
      </c>
      <c r="G57" s="20">
        <f>+F57/F49</f>
        <v>0.16919000000000001</v>
      </c>
    </row>
    <row r="58" spans="1:7" x14ac:dyDescent="0.2">
      <c r="A58" s="945" t="s">
        <v>313</v>
      </c>
      <c r="B58" s="945"/>
      <c r="C58" s="945"/>
      <c r="D58" s="945"/>
      <c r="G58" s="20"/>
    </row>
    <row r="59" spans="1:7" x14ac:dyDescent="0.2">
      <c r="A59" s="954" t="s">
        <v>314</v>
      </c>
      <c r="B59" s="954"/>
      <c r="C59" s="954"/>
      <c r="D59" s="954"/>
      <c r="E59" s="1">
        <v>345210</v>
      </c>
      <c r="G59" s="20"/>
    </row>
    <row r="60" spans="1:7" x14ac:dyDescent="0.2">
      <c r="A60" s="954" t="s">
        <v>315</v>
      </c>
      <c r="B60" s="954"/>
      <c r="C60" s="954"/>
      <c r="D60" s="954"/>
      <c r="E60" s="3">
        <v>333000</v>
      </c>
      <c r="F60" s="3">
        <f>SUM(E59:E60)</f>
        <v>678210</v>
      </c>
      <c r="G60" s="20">
        <f>+F60/F49</f>
        <v>7.5356666666666669E-2</v>
      </c>
    </row>
    <row r="61" spans="1:7" x14ac:dyDescent="0.2">
      <c r="A61" s="945" t="s">
        <v>316</v>
      </c>
      <c r="B61" s="945"/>
      <c r="C61" s="945"/>
      <c r="D61" s="945"/>
      <c r="F61" s="1">
        <f>+F57-F60</f>
        <v>844500</v>
      </c>
      <c r="G61" s="20">
        <f>+F61/F49</f>
        <v>9.3833333333333338E-2</v>
      </c>
    </row>
    <row r="62" spans="1:7" x14ac:dyDescent="0.2">
      <c r="A62" s="944" t="s">
        <v>417</v>
      </c>
      <c r="B62" s="944"/>
      <c r="C62" s="944"/>
      <c r="D62" s="944"/>
      <c r="E62" s="1">
        <v>76500</v>
      </c>
      <c r="G62" s="20"/>
    </row>
    <row r="63" spans="1:7" x14ac:dyDescent="0.2">
      <c r="A63" s="944" t="s">
        <v>410</v>
      </c>
      <c r="B63" s="944"/>
      <c r="C63" s="944"/>
      <c r="D63" s="944"/>
      <c r="E63" s="1">
        <v>22000</v>
      </c>
      <c r="G63" s="20"/>
    </row>
    <row r="64" spans="1:7" x14ac:dyDescent="0.2">
      <c r="A64" s="944" t="s">
        <v>411</v>
      </c>
      <c r="B64" s="944"/>
      <c r="C64" s="944"/>
      <c r="D64" s="944"/>
      <c r="E64" s="3">
        <v>-36000</v>
      </c>
      <c r="F64" s="3">
        <f>SUM(E62:E64)</f>
        <v>62500</v>
      </c>
      <c r="G64" s="20">
        <f>+F64/F49</f>
        <v>6.9444444444444441E-3</v>
      </c>
    </row>
    <row r="65" spans="1:7" x14ac:dyDescent="0.2">
      <c r="A65" s="945" t="s">
        <v>317</v>
      </c>
      <c r="B65" s="945"/>
      <c r="C65" s="945"/>
      <c r="D65" s="945"/>
      <c r="E65" s="2"/>
      <c r="F65" s="2">
        <f>+F61-F64</f>
        <v>782000</v>
      </c>
      <c r="G65" s="20">
        <f>+F65/F49</f>
        <v>8.6888888888888891E-2</v>
      </c>
    </row>
    <row r="66" spans="1:7" x14ac:dyDescent="0.2">
      <c r="A66" s="944" t="s">
        <v>412</v>
      </c>
      <c r="B66" s="944"/>
      <c r="C66" s="944"/>
      <c r="D66" s="944"/>
      <c r="E66" s="2">
        <f>+F65*0.2</f>
        <v>156400</v>
      </c>
      <c r="F66" s="2"/>
      <c r="G66" s="20"/>
    </row>
    <row r="67" spans="1:7" x14ac:dyDescent="0.2">
      <c r="A67" s="944" t="s">
        <v>413</v>
      </c>
      <c r="B67" s="944"/>
      <c r="C67" s="944"/>
      <c r="D67" s="944"/>
      <c r="E67" s="2">
        <f>+F65*0.1</f>
        <v>78200</v>
      </c>
      <c r="F67" s="2"/>
      <c r="G67" s="20"/>
    </row>
    <row r="68" spans="1:7" x14ac:dyDescent="0.2">
      <c r="A68" s="944" t="s">
        <v>414</v>
      </c>
      <c r="B68" s="944"/>
      <c r="C68" s="944"/>
      <c r="D68" s="944"/>
      <c r="E68" s="2">
        <f>+F65*0.07</f>
        <v>54740.000000000007</v>
      </c>
      <c r="F68" s="2"/>
      <c r="G68" s="20"/>
    </row>
    <row r="69" spans="1:7" x14ac:dyDescent="0.2">
      <c r="A69" s="944" t="s">
        <v>415</v>
      </c>
      <c r="B69" s="944"/>
      <c r="C69" s="944"/>
      <c r="D69" s="944"/>
      <c r="E69" s="3">
        <f>+F65*0.03</f>
        <v>23460</v>
      </c>
      <c r="F69" s="2">
        <f>SUM(E66:E69)</f>
        <v>312800</v>
      </c>
      <c r="G69" s="20">
        <f>+F69/F49</f>
        <v>3.4755555555555553E-2</v>
      </c>
    </row>
    <row r="70" spans="1:7" ht="13.5" thickBot="1" x14ac:dyDescent="0.25">
      <c r="A70" s="945" t="s">
        <v>416</v>
      </c>
      <c r="B70" s="945"/>
      <c r="C70" s="945"/>
      <c r="D70" s="945"/>
      <c r="E70" s="2"/>
      <c r="F70" s="6">
        <f>+F65-F69</f>
        <v>469200</v>
      </c>
      <c r="G70" s="20">
        <f>+F70/F49</f>
        <v>5.213333333333333E-2</v>
      </c>
    </row>
    <row r="71" spans="1:7" ht="13.5" thickTop="1" x14ac:dyDescent="0.2">
      <c r="A71" s="945"/>
      <c r="B71" s="945"/>
      <c r="C71" s="945"/>
      <c r="D71" s="945"/>
      <c r="E71" s="2"/>
      <c r="F71" s="935">
        <f>+F38-F70</f>
        <v>-1135291.93</v>
      </c>
    </row>
    <row r="72" spans="1:7" x14ac:dyDescent="0.2">
      <c r="A72" s="953"/>
      <c r="B72" s="953"/>
      <c r="C72" s="953"/>
      <c r="D72" s="953"/>
      <c r="E72" s="953"/>
      <c r="F72" s="953"/>
      <c r="G72" s="953"/>
    </row>
    <row r="73" spans="1:7" ht="28.5" customHeight="1" x14ac:dyDescent="0.2">
      <c r="A73" s="956" t="s">
        <v>347</v>
      </c>
      <c r="B73" s="956"/>
      <c r="C73" s="956"/>
      <c r="D73" s="956"/>
      <c r="E73" s="956"/>
      <c r="F73" s="956"/>
      <c r="G73" s="956"/>
    </row>
    <row r="74" spans="1:7" x14ac:dyDescent="0.2">
      <c r="A74" s="946"/>
      <c r="B74" s="946"/>
      <c r="C74" s="946"/>
      <c r="D74" s="946"/>
      <c r="E74" s="946"/>
      <c r="F74" s="946"/>
      <c r="G74" s="946"/>
    </row>
    <row r="75" spans="1:7" ht="15.75" x14ac:dyDescent="0.25">
      <c r="A75" s="949" t="s">
        <v>336</v>
      </c>
      <c r="B75" s="949"/>
      <c r="C75" s="949"/>
      <c r="D75" s="949"/>
      <c r="E75" s="949"/>
      <c r="F75" s="949"/>
      <c r="G75" s="949"/>
    </row>
    <row r="76" spans="1:7" ht="15.75" x14ac:dyDescent="0.25">
      <c r="A76" s="955"/>
      <c r="B76" s="955"/>
      <c r="C76" s="955"/>
      <c r="D76" s="955"/>
      <c r="E76" s="955"/>
      <c r="F76" s="955"/>
      <c r="G76" s="955"/>
    </row>
    <row r="77" spans="1:7" ht="17.25" customHeight="1" x14ac:dyDescent="0.2">
      <c r="A77" s="947" t="s">
        <v>318</v>
      </c>
      <c r="B77" s="947"/>
      <c r="C77" s="947"/>
      <c r="D77" s="947"/>
      <c r="E77" s="947"/>
      <c r="F77" s="947"/>
      <c r="G77" s="947"/>
    </row>
    <row r="78" spans="1:7" ht="17.25" customHeight="1" x14ac:dyDescent="0.2">
      <c r="A78" s="947"/>
      <c r="B78" s="947"/>
      <c r="C78" s="947"/>
      <c r="D78" s="947"/>
      <c r="E78" s="947"/>
      <c r="F78" s="947"/>
      <c r="G78" s="947"/>
    </row>
    <row r="79" spans="1:7" ht="19.5" customHeight="1" x14ac:dyDescent="0.2">
      <c r="A79" s="950" t="s">
        <v>522</v>
      </c>
      <c r="B79" s="950"/>
      <c r="C79" s="950"/>
      <c r="D79" s="950"/>
      <c r="E79" s="950"/>
      <c r="F79" s="950"/>
      <c r="G79" s="950"/>
    </row>
    <row r="80" spans="1:7" x14ac:dyDescent="0.2">
      <c r="A80" s="946"/>
      <c r="B80" s="946"/>
      <c r="C80" s="946"/>
      <c r="D80" s="946"/>
      <c r="E80" s="946"/>
      <c r="F80" s="946"/>
      <c r="G80" s="946"/>
    </row>
    <row r="81" spans="1:7" x14ac:dyDescent="0.2">
      <c r="A81" s="944" t="s">
        <v>321</v>
      </c>
      <c r="B81" s="944"/>
      <c r="C81" s="944"/>
      <c r="D81" s="944"/>
      <c r="E81" s="944"/>
      <c r="G81" s="1">
        <v>4120000</v>
      </c>
    </row>
    <row r="82" spans="1:7" x14ac:dyDescent="0.2">
      <c r="A82" s="945" t="s">
        <v>323</v>
      </c>
      <c r="B82" s="945"/>
      <c r="C82" s="945"/>
      <c r="D82" s="945"/>
      <c r="E82" s="945"/>
      <c r="F82" s="945"/>
      <c r="G82" s="2"/>
    </row>
    <row r="83" spans="1:7" x14ac:dyDescent="0.2">
      <c r="A83" s="951" t="s">
        <v>322</v>
      </c>
      <c r="B83" s="951"/>
      <c r="C83" s="951"/>
      <c r="D83" s="951"/>
      <c r="F83" s="1">
        <v>411000</v>
      </c>
    </row>
    <row r="84" spans="1:7" x14ac:dyDescent="0.2">
      <c r="A84" s="951" t="s">
        <v>330</v>
      </c>
      <c r="B84" s="951"/>
      <c r="C84" s="951"/>
      <c r="D84" s="951"/>
    </row>
    <row r="85" spans="1:7" x14ac:dyDescent="0.2">
      <c r="A85" s="951" t="s">
        <v>304</v>
      </c>
      <c r="B85" s="951"/>
      <c r="C85" s="951"/>
      <c r="D85" s="951"/>
      <c r="F85" s="1">
        <v>3600000</v>
      </c>
    </row>
    <row r="86" spans="1:7" x14ac:dyDescent="0.2">
      <c r="A86" s="951" t="s">
        <v>305</v>
      </c>
      <c r="B86" s="951"/>
      <c r="C86" s="951"/>
      <c r="D86" s="951"/>
      <c r="F86" s="1">
        <v>-45000</v>
      </c>
    </row>
    <row r="87" spans="1:7" x14ac:dyDescent="0.2">
      <c r="A87" s="951" t="s">
        <v>306</v>
      </c>
      <c r="B87" s="951"/>
      <c r="C87" s="951"/>
      <c r="D87" s="951"/>
      <c r="F87" s="3">
        <v>-34000</v>
      </c>
    </row>
    <row r="88" spans="1:7" x14ac:dyDescent="0.2">
      <c r="A88" s="951" t="s">
        <v>330</v>
      </c>
      <c r="B88" s="951"/>
      <c r="C88" s="951"/>
      <c r="D88" s="951"/>
      <c r="F88" s="2">
        <f>SUM(F85:F87)</f>
        <v>3521000</v>
      </c>
    </row>
    <row r="89" spans="1:7" x14ac:dyDescent="0.2">
      <c r="A89" s="951" t="s">
        <v>324</v>
      </c>
      <c r="B89" s="951"/>
      <c r="C89" s="951"/>
      <c r="D89" s="951"/>
      <c r="F89" s="1">
        <f>+F83+F88</f>
        <v>3932000</v>
      </c>
    </row>
    <row r="90" spans="1:7" x14ac:dyDescent="0.2">
      <c r="A90" s="951" t="s">
        <v>325</v>
      </c>
      <c r="B90" s="951"/>
      <c r="C90" s="951"/>
      <c r="D90" s="951"/>
      <c r="F90" s="3">
        <v>-260000</v>
      </c>
    </row>
    <row r="91" spans="1:7" x14ac:dyDescent="0.2">
      <c r="A91" s="951" t="s">
        <v>406</v>
      </c>
      <c r="B91" s="951"/>
      <c r="C91" s="951"/>
      <c r="D91" s="951"/>
      <c r="G91" s="2">
        <f>+F89+F90</f>
        <v>3672000</v>
      </c>
    </row>
    <row r="92" spans="1:7" x14ac:dyDescent="0.2">
      <c r="A92" s="951" t="s">
        <v>326</v>
      </c>
      <c r="B92" s="951"/>
      <c r="C92" s="951"/>
      <c r="D92" s="951"/>
      <c r="F92" s="2"/>
      <c r="G92" s="3">
        <v>320000</v>
      </c>
    </row>
    <row r="93" spans="1:7" x14ac:dyDescent="0.2">
      <c r="A93" s="951" t="s">
        <v>327</v>
      </c>
      <c r="B93" s="951"/>
      <c r="C93" s="951"/>
      <c r="D93" s="951"/>
      <c r="F93" s="2"/>
      <c r="G93" s="1">
        <f>+G81+G91+G92</f>
        <v>8112000</v>
      </c>
    </row>
    <row r="94" spans="1:7" x14ac:dyDescent="0.2">
      <c r="A94" s="951" t="s">
        <v>328</v>
      </c>
      <c r="B94" s="951"/>
      <c r="C94" s="951"/>
      <c r="D94" s="951"/>
      <c r="F94" s="2"/>
      <c r="G94" s="3">
        <f>517400+200000</f>
        <v>717400</v>
      </c>
    </row>
    <row r="95" spans="1:7" x14ac:dyDescent="0.2">
      <c r="A95" s="951" t="s">
        <v>329</v>
      </c>
      <c r="B95" s="951"/>
      <c r="C95" s="951"/>
      <c r="D95" s="951"/>
      <c r="F95" s="2"/>
      <c r="G95" s="1">
        <f>+G93+G94</f>
        <v>8829400</v>
      </c>
    </row>
    <row r="96" spans="1:7" x14ac:dyDescent="0.2">
      <c r="A96" s="944" t="s">
        <v>331</v>
      </c>
      <c r="B96" s="944"/>
      <c r="C96" s="944"/>
      <c r="D96" s="944"/>
      <c r="E96" s="944"/>
      <c r="G96" s="3">
        <f>-1345000+36000-110</f>
        <v>-1309110</v>
      </c>
    </row>
    <row r="97" spans="1:7" x14ac:dyDescent="0.2">
      <c r="A97" s="945" t="s">
        <v>332</v>
      </c>
      <c r="B97" s="945"/>
      <c r="C97" s="945"/>
      <c r="D97" s="945"/>
      <c r="E97" s="945"/>
      <c r="G97" s="1">
        <f>SUM(G95:G96)</f>
        <v>7520290</v>
      </c>
    </row>
    <row r="98" spans="1:7" x14ac:dyDescent="0.2">
      <c r="A98" s="944" t="s">
        <v>333</v>
      </c>
      <c r="B98" s="944"/>
      <c r="C98" s="944"/>
      <c r="D98" s="944"/>
      <c r="E98" s="944"/>
      <c r="F98" s="1">
        <v>400000</v>
      </c>
    </row>
    <row r="99" spans="1:7" x14ac:dyDescent="0.2">
      <c r="A99" s="944" t="s">
        <v>334</v>
      </c>
      <c r="B99" s="944"/>
      <c r="C99" s="944"/>
      <c r="D99" s="944"/>
      <c r="E99" s="944"/>
      <c r="F99" s="3">
        <v>-510000</v>
      </c>
      <c r="G99" s="3">
        <f>+F98+F99</f>
        <v>-110000</v>
      </c>
    </row>
    <row r="100" spans="1:7" ht="15.75" thickBot="1" x14ac:dyDescent="0.3">
      <c r="A100" s="952" t="s">
        <v>312</v>
      </c>
      <c r="B100" s="952"/>
      <c r="C100" s="952"/>
      <c r="D100" s="952"/>
      <c r="E100" s="952"/>
      <c r="G100" s="6">
        <f>SUM(G97:G99)</f>
        <v>7410290</v>
      </c>
    </row>
    <row r="101" spans="1:7" ht="13.5" thickTop="1" x14ac:dyDescent="0.2">
      <c r="A101" s="946"/>
      <c r="B101" s="946"/>
      <c r="C101" s="946"/>
      <c r="D101" s="946"/>
      <c r="E101" s="946"/>
      <c r="F101" s="946"/>
      <c r="G101" s="946"/>
    </row>
    <row r="102" spans="1:7" x14ac:dyDescent="0.2">
      <c r="A102" s="946"/>
      <c r="B102" s="946"/>
      <c r="C102" s="946"/>
      <c r="D102" s="946"/>
      <c r="E102" s="946"/>
      <c r="F102" s="946"/>
      <c r="G102" s="946"/>
    </row>
    <row r="103" spans="1:7" ht="15.75" x14ac:dyDescent="0.25">
      <c r="A103" s="949" t="s">
        <v>338</v>
      </c>
      <c r="B103" s="949"/>
      <c r="C103" s="949"/>
      <c r="D103" s="949"/>
      <c r="E103" s="949"/>
      <c r="F103" s="949"/>
      <c r="G103" s="949"/>
    </row>
    <row r="104" spans="1:7" ht="15.75" x14ac:dyDescent="0.25">
      <c r="A104" s="955"/>
      <c r="B104" s="955"/>
      <c r="C104" s="955"/>
      <c r="D104" s="955"/>
      <c r="E104" s="955"/>
      <c r="F104" s="955"/>
      <c r="G104" s="955"/>
    </row>
    <row r="105" spans="1:7" x14ac:dyDescent="0.2">
      <c r="A105" s="947" t="s">
        <v>320</v>
      </c>
      <c r="B105" s="947"/>
      <c r="C105" s="947"/>
      <c r="D105" s="947"/>
      <c r="E105" s="947"/>
      <c r="F105" s="947"/>
      <c r="G105" s="947"/>
    </row>
    <row r="106" spans="1:7" x14ac:dyDescent="0.2">
      <c r="A106" s="947"/>
      <c r="B106" s="947"/>
      <c r="C106" s="947"/>
      <c r="D106" s="947"/>
      <c r="E106" s="947"/>
      <c r="F106" s="947"/>
      <c r="G106" s="947"/>
    </row>
    <row r="107" spans="1:7" x14ac:dyDescent="0.2">
      <c r="A107" s="950" t="s">
        <v>522</v>
      </c>
      <c r="B107" s="950"/>
      <c r="C107" s="950"/>
      <c r="D107" s="950"/>
      <c r="E107" s="950"/>
      <c r="F107" s="950"/>
      <c r="G107" s="950"/>
    </row>
    <row r="108" spans="1:7" x14ac:dyDescent="0.2">
      <c r="A108" s="36"/>
      <c r="B108" s="36"/>
      <c r="C108" s="36"/>
      <c r="D108" s="36"/>
      <c r="E108" s="36"/>
      <c r="F108" s="36"/>
      <c r="G108" s="36"/>
    </row>
    <row r="109" spans="1:7" x14ac:dyDescent="0.2">
      <c r="A109" s="944" t="s">
        <v>339</v>
      </c>
      <c r="B109" s="944"/>
      <c r="C109" s="944"/>
      <c r="D109" s="944"/>
      <c r="F109" s="1">
        <f>+G139</f>
        <v>4857500</v>
      </c>
      <c r="G109" s="20">
        <v>1</v>
      </c>
    </row>
    <row r="110" spans="1:7" x14ac:dyDescent="0.2">
      <c r="A110" s="944" t="s">
        <v>299</v>
      </c>
      <c r="B110" s="944"/>
      <c r="C110" s="944"/>
      <c r="D110" s="944"/>
      <c r="G110" s="20"/>
    </row>
    <row r="111" spans="1:7" x14ac:dyDescent="0.2">
      <c r="A111" s="944" t="s">
        <v>340</v>
      </c>
      <c r="B111" s="944"/>
      <c r="C111" s="944"/>
      <c r="D111" s="944"/>
      <c r="E111" s="1">
        <f>+G141</f>
        <v>-220000</v>
      </c>
      <c r="G111" s="20"/>
    </row>
    <row r="112" spans="1:7" x14ac:dyDescent="0.2">
      <c r="A112" s="944" t="s">
        <v>341</v>
      </c>
      <c r="B112" s="944"/>
      <c r="C112" s="944"/>
      <c r="D112" s="944"/>
      <c r="E112" s="1">
        <f>+G142</f>
        <v>-29000</v>
      </c>
      <c r="G112" s="20"/>
    </row>
    <row r="113" spans="1:7" x14ac:dyDescent="0.2">
      <c r="A113" s="944" t="s">
        <v>342</v>
      </c>
      <c r="B113" s="944"/>
      <c r="C113" s="944"/>
      <c r="D113" s="944"/>
      <c r="E113" s="3">
        <f>+G143</f>
        <v>-233000</v>
      </c>
      <c r="F113" s="3">
        <f>SUM(E111:E113)</f>
        <v>-482000</v>
      </c>
      <c r="G113" s="20">
        <f>+F113/F109</f>
        <v>-9.9227997941327847E-2</v>
      </c>
    </row>
    <row r="114" spans="1:7" x14ac:dyDescent="0.2">
      <c r="A114" s="944" t="s">
        <v>343</v>
      </c>
      <c r="B114" s="944"/>
      <c r="C114" s="944"/>
      <c r="D114" s="944"/>
      <c r="F114" s="1">
        <f>SUM(F109:F113)</f>
        <v>4375500</v>
      </c>
      <c r="G114" s="20">
        <f>+F114/F109</f>
        <v>0.90077200205867214</v>
      </c>
    </row>
    <row r="115" spans="1:7" x14ac:dyDescent="0.2">
      <c r="A115" s="944" t="s">
        <v>299</v>
      </c>
      <c r="B115" s="944"/>
      <c r="C115" s="944"/>
      <c r="D115" s="944"/>
      <c r="G115" s="20"/>
    </row>
    <row r="116" spans="1:7" x14ac:dyDescent="0.2">
      <c r="A116" s="945" t="s">
        <v>348</v>
      </c>
      <c r="B116" s="945"/>
      <c r="C116" s="945"/>
      <c r="D116" s="945"/>
      <c r="F116" s="7">
        <f>+G155</f>
        <v>3333000</v>
      </c>
      <c r="G116" s="20">
        <f>+F116/F109</f>
        <v>0.68615542974781263</v>
      </c>
    </row>
    <row r="117" spans="1:7" x14ac:dyDescent="0.2">
      <c r="A117" s="945" t="s">
        <v>311</v>
      </c>
      <c r="B117" s="945"/>
      <c r="C117" s="945"/>
      <c r="D117" s="945"/>
      <c r="F117" s="1">
        <f>+F114-F116</f>
        <v>1042500</v>
      </c>
      <c r="G117" s="39">
        <f>+F117/F109</f>
        <v>0.21461657231085948</v>
      </c>
    </row>
    <row r="118" spans="1:7" x14ac:dyDescent="0.2">
      <c r="A118" s="945" t="s">
        <v>313</v>
      </c>
      <c r="B118" s="945"/>
      <c r="C118" s="945"/>
      <c r="D118" s="945"/>
      <c r="G118" s="20"/>
    </row>
    <row r="119" spans="1:7" x14ac:dyDescent="0.2">
      <c r="A119" s="954" t="s">
        <v>314</v>
      </c>
      <c r="B119" s="954"/>
      <c r="C119" s="954"/>
      <c r="D119" s="954"/>
      <c r="E119" s="2"/>
      <c r="F119" s="1">
        <v>345210</v>
      </c>
      <c r="G119" s="20">
        <f>+F119/F109</f>
        <v>7.1067421513124035E-2</v>
      </c>
    </row>
    <row r="120" spans="1:7" x14ac:dyDescent="0.2">
      <c r="A120" s="954" t="s">
        <v>315</v>
      </c>
      <c r="B120" s="954"/>
      <c r="C120" s="954"/>
      <c r="D120" s="954"/>
      <c r="E120" s="2"/>
      <c r="F120" s="3">
        <v>333000</v>
      </c>
      <c r="G120" s="20">
        <f>+F120/F109</f>
        <v>6.8553782810087491E-2</v>
      </c>
    </row>
    <row r="121" spans="1:7" x14ac:dyDescent="0.2">
      <c r="A121" s="945" t="s">
        <v>316</v>
      </c>
      <c r="B121" s="945"/>
      <c r="C121" s="945"/>
      <c r="D121" s="945"/>
      <c r="E121" s="2"/>
      <c r="F121" s="1">
        <f>+F117-F119-F120</f>
        <v>364290</v>
      </c>
      <c r="G121" s="20">
        <f>+F121/F109</f>
        <v>7.4995367987647971E-2</v>
      </c>
    </row>
    <row r="122" spans="1:7" x14ac:dyDescent="0.2">
      <c r="A122" s="944" t="s">
        <v>417</v>
      </c>
      <c r="B122" s="944"/>
      <c r="C122" s="944"/>
      <c r="D122" s="944"/>
      <c r="E122" s="1">
        <v>76500</v>
      </c>
      <c r="G122" s="20"/>
    </row>
    <row r="123" spans="1:7" x14ac:dyDescent="0.2">
      <c r="A123" s="944" t="s">
        <v>410</v>
      </c>
      <c r="B123" s="944"/>
      <c r="C123" s="944"/>
      <c r="D123" s="944"/>
      <c r="E123" s="1">
        <v>21000</v>
      </c>
      <c r="G123" s="20"/>
    </row>
    <row r="124" spans="1:7" x14ac:dyDescent="0.2">
      <c r="A124" s="944" t="s">
        <v>411</v>
      </c>
      <c r="B124" s="944"/>
      <c r="C124" s="944"/>
      <c r="D124" s="944"/>
      <c r="E124" s="3">
        <v>-170000</v>
      </c>
      <c r="F124" s="3">
        <f>SUM(E122:E124)</f>
        <v>-72500</v>
      </c>
      <c r="G124" s="20">
        <f>+F124/F109</f>
        <v>-1.4925373134328358E-2</v>
      </c>
    </row>
    <row r="125" spans="1:7" x14ac:dyDescent="0.2">
      <c r="A125" s="945" t="s">
        <v>317</v>
      </c>
      <c r="B125" s="945"/>
      <c r="C125" s="945"/>
      <c r="D125" s="945"/>
      <c r="E125" s="2"/>
      <c r="F125" s="2">
        <f>+F117-F120-F124</f>
        <v>782000</v>
      </c>
      <c r="G125" s="20">
        <f>+F125/F109</f>
        <v>0.16098816263510035</v>
      </c>
    </row>
    <row r="126" spans="1:7" x14ac:dyDescent="0.2">
      <c r="A126" s="944" t="s">
        <v>412</v>
      </c>
      <c r="B126" s="944"/>
      <c r="C126" s="944"/>
      <c r="D126" s="944"/>
      <c r="E126" s="2">
        <f>+F125*0.2</f>
        <v>156400</v>
      </c>
      <c r="F126" s="2"/>
      <c r="G126" s="20"/>
    </row>
    <row r="127" spans="1:7" x14ac:dyDescent="0.2">
      <c r="A127" s="944" t="s">
        <v>413</v>
      </c>
      <c r="B127" s="944"/>
      <c r="C127" s="944"/>
      <c r="D127" s="944"/>
      <c r="E127" s="2">
        <f>+F125*0.1</f>
        <v>78200</v>
      </c>
      <c r="F127" s="2"/>
      <c r="G127" s="20"/>
    </row>
    <row r="128" spans="1:7" x14ac:dyDescent="0.2">
      <c r="A128" s="944" t="s">
        <v>414</v>
      </c>
      <c r="B128" s="944"/>
      <c r="C128" s="944"/>
      <c r="D128" s="944"/>
      <c r="E128" s="2">
        <f>+F125*0.07</f>
        <v>54740.000000000007</v>
      </c>
      <c r="F128" s="2"/>
      <c r="G128" s="20"/>
    </row>
    <row r="129" spans="1:7" x14ac:dyDescent="0.2">
      <c r="A129" s="944" t="s">
        <v>415</v>
      </c>
      <c r="B129" s="944"/>
      <c r="C129" s="944"/>
      <c r="D129" s="944"/>
      <c r="E129" s="3">
        <f>+F125*0.03</f>
        <v>23460</v>
      </c>
      <c r="F129" s="2">
        <f>SUM(E126:E129)</f>
        <v>312800</v>
      </c>
      <c r="G129" s="20">
        <f>+F129/F109</f>
        <v>6.4395265054040141E-2</v>
      </c>
    </row>
    <row r="130" spans="1:7" ht="13.5" thickBot="1" x14ac:dyDescent="0.25">
      <c r="A130" s="945" t="s">
        <v>416</v>
      </c>
      <c r="B130" s="945"/>
      <c r="C130" s="945"/>
      <c r="D130" s="945"/>
      <c r="E130" s="2"/>
      <c r="F130" s="6">
        <f>+F125-F129</f>
        <v>469200</v>
      </c>
      <c r="G130" s="20">
        <f>+F130/F109</f>
        <v>9.6592897581060211E-2</v>
      </c>
    </row>
    <row r="131" spans="1:7" ht="13.5" thickTop="1" x14ac:dyDescent="0.2">
      <c r="A131" s="958">
        <f>+F70-F130</f>
        <v>0</v>
      </c>
      <c r="B131" s="958"/>
      <c r="C131" s="958"/>
      <c r="D131" s="958"/>
      <c r="E131" s="958"/>
      <c r="F131" s="958"/>
      <c r="G131" s="958"/>
    </row>
    <row r="132" spans="1:7" x14ac:dyDescent="0.2">
      <c r="A132" s="946"/>
      <c r="B132" s="946"/>
      <c r="C132" s="946"/>
      <c r="D132" s="946"/>
      <c r="E132" s="946"/>
      <c r="F132" s="946"/>
      <c r="G132" s="946"/>
    </row>
    <row r="133" spans="1:7" ht="15.75" x14ac:dyDescent="0.25">
      <c r="A133" s="949" t="s">
        <v>338</v>
      </c>
      <c r="B133" s="949"/>
      <c r="C133" s="949"/>
      <c r="D133" s="949"/>
      <c r="E133" s="949"/>
      <c r="F133" s="949"/>
      <c r="G133" s="949"/>
    </row>
    <row r="134" spans="1:7" x14ac:dyDescent="0.2">
      <c r="A134" s="947" t="s">
        <v>418</v>
      </c>
      <c r="B134" s="947"/>
      <c r="C134" s="947"/>
      <c r="D134" s="947"/>
      <c r="E134" s="947"/>
      <c r="F134" s="947"/>
      <c r="G134" s="947"/>
    </row>
    <row r="135" spans="1:7" x14ac:dyDescent="0.2">
      <c r="A135" s="947"/>
      <c r="B135" s="947"/>
      <c r="C135" s="947"/>
      <c r="D135" s="947"/>
      <c r="E135" s="947"/>
      <c r="F135" s="947"/>
      <c r="G135" s="947"/>
    </row>
    <row r="136" spans="1:7" x14ac:dyDescent="0.2">
      <c r="A136" s="950" t="s">
        <v>319</v>
      </c>
      <c r="B136" s="950"/>
      <c r="C136" s="950"/>
      <c r="D136" s="950"/>
      <c r="E136" s="950"/>
      <c r="F136" s="950"/>
      <c r="G136" s="950"/>
    </row>
    <row r="137" spans="1:7" x14ac:dyDescent="0.2">
      <c r="A137" s="946"/>
      <c r="B137" s="946"/>
      <c r="C137" s="946"/>
      <c r="D137" s="946"/>
      <c r="E137" s="946"/>
      <c r="F137" s="946"/>
      <c r="G137" s="946"/>
    </row>
    <row r="138" spans="1:7" x14ac:dyDescent="0.2">
      <c r="A138" s="946"/>
      <c r="B138" s="946"/>
      <c r="C138" s="948"/>
      <c r="D138" s="21" t="s">
        <v>419</v>
      </c>
      <c r="E138" s="21" t="s">
        <v>420</v>
      </c>
      <c r="F138" s="21" t="s">
        <v>421</v>
      </c>
      <c r="G138" s="21" t="s">
        <v>352</v>
      </c>
    </row>
    <row r="139" spans="1:7" x14ac:dyDescent="0.2">
      <c r="A139" s="944" t="s">
        <v>339</v>
      </c>
      <c r="B139" s="944"/>
      <c r="C139" s="944"/>
      <c r="D139" s="15">
        <v>1655000</v>
      </c>
      <c r="E139" s="1">
        <v>1900000</v>
      </c>
      <c r="F139" s="1">
        <f>1300000+2500</f>
        <v>1302500</v>
      </c>
      <c r="G139" s="1">
        <f>SUM(D139:F139)</f>
        <v>4857500</v>
      </c>
    </row>
    <row r="140" spans="1:7" x14ac:dyDescent="0.2">
      <c r="A140" s="944" t="s">
        <v>299</v>
      </c>
      <c r="B140" s="944"/>
      <c r="C140" s="944"/>
      <c r="D140" s="15"/>
    </row>
    <row r="141" spans="1:7" x14ac:dyDescent="0.2">
      <c r="A141" s="944" t="s">
        <v>340</v>
      </c>
      <c r="B141" s="944"/>
      <c r="C141" s="944"/>
      <c r="D141" s="15">
        <v>-29000</v>
      </c>
      <c r="E141" s="1">
        <v>-110000</v>
      </c>
      <c r="F141" s="1">
        <v>-81000</v>
      </c>
      <c r="G141" s="1">
        <f>SUM(D141:F141)</f>
        <v>-220000</v>
      </c>
    </row>
    <row r="142" spans="1:7" x14ac:dyDescent="0.2">
      <c r="A142" s="944" t="s">
        <v>341</v>
      </c>
      <c r="B142" s="944"/>
      <c r="C142" s="944"/>
      <c r="D142" s="15"/>
      <c r="F142" s="1">
        <v>-29000</v>
      </c>
      <c r="G142" s="1">
        <f>SUM(D142:F142)</f>
        <v>-29000</v>
      </c>
    </row>
    <row r="143" spans="1:7" x14ac:dyDescent="0.2">
      <c r="A143" s="944" t="s">
        <v>342</v>
      </c>
      <c r="B143" s="944"/>
      <c r="C143" s="944"/>
      <c r="D143" s="22">
        <v>-22000</v>
      </c>
      <c r="E143" s="3">
        <v>-113000</v>
      </c>
      <c r="F143" s="3">
        <v>-98000</v>
      </c>
      <c r="G143" s="3">
        <f>SUM(D143:F143)</f>
        <v>-233000</v>
      </c>
    </row>
    <row r="144" spans="1:7" x14ac:dyDescent="0.2">
      <c r="A144" s="944" t="s">
        <v>343</v>
      </c>
      <c r="B144" s="944"/>
      <c r="C144" s="944"/>
      <c r="D144" s="15">
        <f>SUM(D139:D143)</f>
        <v>1604000</v>
      </c>
      <c r="E144" s="15">
        <f>SUM(E139:E143)</f>
        <v>1677000</v>
      </c>
      <c r="F144" s="15">
        <f>SUM(F139:F143)</f>
        <v>1094500</v>
      </c>
      <c r="G144" s="15">
        <f>SUM(D144:F144)</f>
        <v>4375500</v>
      </c>
    </row>
    <row r="145" spans="1:7" x14ac:dyDescent="0.2">
      <c r="A145" s="946"/>
      <c r="B145" s="946"/>
      <c r="C145" s="946"/>
      <c r="D145" s="946"/>
      <c r="E145" s="946"/>
      <c r="F145" s="946"/>
      <c r="G145" s="946"/>
    </row>
    <row r="146" spans="1:7" x14ac:dyDescent="0.2">
      <c r="A146" s="945" t="s">
        <v>348</v>
      </c>
      <c r="B146" s="945"/>
      <c r="C146" s="945"/>
      <c r="D146" s="945"/>
    </row>
    <row r="147" spans="1:7" x14ac:dyDescent="0.2">
      <c r="A147" s="1" t="s">
        <v>422</v>
      </c>
    </row>
    <row r="148" spans="1:7" x14ac:dyDescent="0.2">
      <c r="A148" s="944" t="s">
        <v>423</v>
      </c>
      <c r="B148" s="944"/>
      <c r="C148" s="944"/>
      <c r="D148" s="1">
        <v>190000</v>
      </c>
      <c r="E148" s="1">
        <v>520000</v>
      </c>
      <c r="F148" s="1">
        <v>14000</v>
      </c>
      <c r="G148" s="1">
        <f>SUM(D148:F148)</f>
        <v>724000</v>
      </c>
    </row>
    <row r="149" spans="1:7" x14ac:dyDescent="0.2">
      <c r="A149" s="944" t="s">
        <v>425</v>
      </c>
      <c r="B149" s="944"/>
      <c r="C149" s="944"/>
      <c r="D149" s="1">
        <v>428000</v>
      </c>
      <c r="E149" s="1">
        <v>615000</v>
      </c>
      <c r="F149" s="1">
        <v>817000</v>
      </c>
      <c r="G149" s="1">
        <f>SUM(D149:F149)</f>
        <v>1860000</v>
      </c>
    </row>
    <row r="150" spans="1:7" x14ac:dyDescent="0.2">
      <c r="A150" s="944" t="s">
        <v>424</v>
      </c>
      <c r="B150" s="944"/>
      <c r="C150" s="944"/>
      <c r="D150" s="3">
        <v>188000</v>
      </c>
      <c r="E150" s="3">
        <v>543000</v>
      </c>
      <c r="F150" s="3">
        <v>21000</v>
      </c>
      <c r="G150" s="3">
        <f>SUM(D150:F150)</f>
        <v>752000</v>
      </c>
    </row>
    <row r="151" spans="1:7" ht="24.75" customHeight="1" x14ac:dyDescent="0.2">
      <c r="A151" s="956" t="s">
        <v>426</v>
      </c>
      <c r="B151" s="956"/>
      <c r="C151" s="956"/>
      <c r="D151" s="1">
        <f>+D148+D149-D150</f>
        <v>430000</v>
      </c>
      <c r="E151" s="1">
        <f>+E148+E149-E150</f>
        <v>592000</v>
      </c>
      <c r="F151" s="1">
        <f>+F148+F149-F150</f>
        <v>810000</v>
      </c>
      <c r="G151" s="1">
        <f>+G148+G149-G150</f>
        <v>1832000</v>
      </c>
    </row>
    <row r="152" spans="1:7" ht="24.75" customHeight="1" x14ac:dyDescent="0.2">
      <c r="A152" s="956" t="s">
        <v>427</v>
      </c>
      <c r="B152" s="956"/>
      <c r="C152" s="956"/>
      <c r="D152" s="1">
        <v>455000</v>
      </c>
      <c r="E152" s="1">
        <v>288000</v>
      </c>
      <c r="F152" s="1">
        <v>129000</v>
      </c>
      <c r="G152" s="1">
        <f>SUM(D152:F152)</f>
        <v>872000</v>
      </c>
    </row>
    <row r="153" spans="1:7" x14ac:dyDescent="0.2">
      <c r="A153" s="944" t="s">
        <v>428</v>
      </c>
      <c r="B153" s="944"/>
      <c r="C153" s="944"/>
      <c r="D153" s="1">
        <v>176000</v>
      </c>
      <c r="E153" s="1">
        <v>188000</v>
      </c>
      <c r="F153" s="1">
        <v>201000</v>
      </c>
      <c r="G153" s="1">
        <f>SUM(D153:F153)</f>
        <v>565000</v>
      </c>
    </row>
    <row r="154" spans="1:7" x14ac:dyDescent="0.2">
      <c r="A154" s="944" t="s">
        <v>429</v>
      </c>
      <c r="B154" s="944"/>
      <c r="C154" s="944"/>
      <c r="D154" s="3">
        <v>19000</v>
      </c>
      <c r="E154" s="3">
        <v>21000</v>
      </c>
      <c r="F154" s="3">
        <v>24000</v>
      </c>
      <c r="G154" s="3">
        <f>SUM(D154:F154)</f>
        <v>64000</v>
      </c>
    </row>
    <row r="155" spans="1:7" x14ac:dyDescent="0.2">
      <c r="A155" s="944"/>
      <c r="B155" s="944"/>
      <c r="C155" s="944"/>
      <c r="D155" s="1">
        <f>SUM(D151:D154)</f>
        <v>1080000</v>
      </c>
      <c r="E155" s="1">
        <f>SUM(E151:E154)</f>
        <v>1089000</v>
      </c>
      <c r="F155" s="1">
        <f>SUM(F151:F154)</f>
        <v>1164000</v>
      </c>
      <c r="G155" s="35">
        <f>SUM(G151:G154)</f>
        <v>3333000</v>
      </c>
    </row>
    <row r="156" spans="1:7" x14ac:dyDescent="0.2">
      <c r="A156" s="946"/>
      <c r="B156" s="946"/>
      <c r="C156" s="946"/>
      <c r="D156" s="3"/>
      <c r="E156" s="3"/>
      <c r="F156" s="3"/>
      <c r="G156" s="3"/>
    </row>
    <row r="157" spans="1:7" ht="13.5" thickBot="1" x14ac:dyDescent="0.25">
      <c r="A157" s="944" t="s">
        <v>430</v>
      </c>
      <c r="B157" s="944"/>
      <c r="C157" s="944"/>
      <c r="D157" s="6">
        <f>+D144-D155</f>
        <v>524000</v>
      </c>
      <c r="E157" s="6">
        <f>+E144-E155</f>
        <v>588000</v>
      </c>
      <c r="F157" s="6">
        <f>+F144-F155</f>
        <v>-69500</v>
      </c>
      <c r="G157" s="6">
        <f>+G144-G155</f>
        <v>1042500</v>
      </c>
    </row>
    <row r="158" spans="1:7" ht="14.25" thickTop="1" thickBot="1" x14ac:dyDescent="0.25">
      <c r="A158" s="944" t="s">
        <v>431</v>
      </c>
      <c r="B158" s="944"/>
      <c r="C158" s="944"/>
      <c r="D158" s="23">
        <f>+D157/D139</f>
        <v>0.31661631419939579</v>
      </c>
      <c r="E158" s="23">
        <f>+E157/E139</f>
        <v>0.30947368421052629</v>
      </c>
      <c r="F158" s="23">
        <f>+F157/F139</f>
        <v>-5.3358925143953934E-2</v>
      </c>
      <c r="G158" s="38">
        <f>+G157/G139</f>
        <v>0.21461657231085948</v>
      </c>
    </row>
    <row r="159" spans="1:7" ht="13.5" thickTop="1" x14ac:dyDescent="0.2">
      <c r="A159" s="946"/>
      <c r="B159" s="946"/>
      <c r="C159" s="946"/>
      <c r="D159" s="946"/>
      <c r="E159" s="946"/>
      <c r="F159" s="946"/>
      <c r="G159" s="946"/>
    </row>
    <row r="160" spans="1:7" ht="24.75" customHeight="1" x14ac:dyDescent="0.2">
      <c r="A160" s="956" t="s">
        <v>407</v>
      </c>
      <c r="B160" s="956"/>
      <c r="C160" s="956"/>
      <c r="D160" s="956"/>
      <c r="E160" s="956"/>
      <c r="F160" s="956"/>
      <c r="G160" s="956"/>
    </row>
    <row r="161" spans="1:7" x14ac:dyDescent="0.2">
      <c r="A161" s="945" t="s">
        <v>344</v>
      </c>
      <c r="B161" s="945"/>
      <c r="C161" s="945"/>
      <c r="D161" s="945"/>
      <c r="E161" s="945"/>
      <c r="F161" s="945"/>
      <c r="G161" s="15"/>
    </row>
    <row r="162" spans="1:7" ht="26.25" customHeight="1" x14ac:dyDescent="0.2">
      <c r="A162" s="957" t="s">
        <v>345</v>
      </c>
      <c r="B162" s="957"/>
      <c r="C162" s="957"/>
      <c r="D162" s="957"/>
      <c r="E162" s="957"/>
      <c r="F162" s="957"/>
      <c r="G162" s="957"/>
    </row>
    <row r="163" spans="1:7" ht="36.75" customHeight="1" x14ac:dyDescent="0.2">
      <c r="A163" s="956" t="s">
        <v>349</v>
      </c>
      <c r="B163" s="956"/>
      <c r="C163" s="956"/>
      <c r="D163" s="956"/>
      <c r="E163" s="956"/>
      <c r="F163" s="956"/>
      <c r="G163" s="956"/>
    </row>
    <row r="164" spans="1:7" ht="41.25" customHeight="1" x14ac:dyDescent="0.2">
      <c r="A164" s="956" t="s">
        <v>408</v>
      </c>
      <c r="B164" s="956"/>
      <c r="C164" s="956"/>
      <c r="D164" s="956"/>
      <c r="E164" s="956"/>
      <c r="F164" s="956"/>
      <c r="G164" s="956"/>
    </row>
  </sheetData>
  <mergeCells count="160">
    <mergeCell ref="A156:C156"/>
    <mergeCell ref="A93:D93"/>
    <mergeCell ref="A94:D94"/>
    <mergeCell ref="A95:D95"/>
    <mergeCell ref="A82:F82"/>
    <mergeCell ref="A89:D89"/>
    <mergeCell ref="A90:D90"/>
    <mergeCell ref="A91:D91"/>
    <mergeCell ref="A92:D92"/>
    <mergeCell ref="A109:D109"/>
    <mergeCell ref="A103:G103"/>
    <mergeCell ref="A105:G105"/>
    <mergeCell ref="A107:G107"/>
    <mergeCell ref="A102:G102"/>
    <mergeCell ref="A104:G104"/>
    <mergeCell ref="A106:G106"/>
    <mergeCell ref="A130:D130"/>
    <mergeCell ref="A119:D119"/>
    <mergeCell ref="A120:D120"/>
    <mergeCell ref="A121:D121"/>
    <mergeCell ref="A122:D122"/>
    <mergeCell ref="A128:D128"/>
    <mergeCell ref="A110:D110"/>
    <mergeCell ref="A129:D129"/>
    <mergeCell ref="A162:G162"/>
    <mergeCell ref="A163:G163"/>
    <mergeCell ref="A164:G164"/>
    <mergeCell ref="A123:D123"/>
    <mergeCell ref="A124:D124"/>
    <mergeCell ref="A125:D125"/>
    <mergeCell ref="A161:F161"/>
    <mergeCell ref="A126:D126"/>
    <mergeCell ref="A127:D127"/>
    <mergeCell ref="A131:G131"/>
    <mergeCell ref="A144:C144"/>
    <mergeCell ref="A148:C148"/>
    <mergeCell ref="A149:C149"/>
    <mergeCell ref="A158:C158"/>
    <mergeCell ref="A152:C152"/>
    <mergeCell ref="A153:C153"/>
    <mergeCell ref="A154:C154"/>
    <mergeCell ref="A155:C155"/>
    <mergeCell ref="A160:G160"/>
    <mergeCell ref="A159:G159"/>
    <mergeCell ref="A151:C151"/>
    <mergeCell ref="A157:C157"/>
    <mergeCell ref="A146:D146"/>
    <mergeCell ref="A139:C139"/>
    <mergeCell ref="A74:G74"/>
    <mergeCell ref="A77:G77"/>
    <mergeCell ref="A76:G76"/>
    <mergeCell ref="A1:G1"/>
    <mergeCell ref="A3:G3"/>
    <mergeCell ref="A5:G5"/>
    <mergeCell ref="A43:G43"/>
    <mergeCell ref="A33:D33"/>
    <mergeCell ref="A6:D6"/>
    <mergeCell ref="A28:D28"/>
    <mergeCell ref="A29:D29"/>
    <mergeCell ref="A30:D30"/>
    <mergeCell ref="A34:D34"/>
    <mergeCell ref="A32:D32"/>
    <mergeCell ref="A51:D51"/>
    <mergeCell ref="A73:G73"/>
    <mergeCell ref="A75:G75"/>
    <mergeCell ref="A69:D69"/>
    <mergeCell ref="A63:D63"/>
    <mergeCell ref="A25:D25"/>
    <mergeCell ref="A26:D26"/>
    <mergeCell ref="A27:D27"/>
    <mergeCell ref="A35:D35"/>
    <mergeCell ref="A36:D36"/>
    <mergeCell ref="A38:D38"/>
    <mergeCell ref="A71:D71"/>
    <mergeCell ref="A65:D65"/>
    <mergeCell ref="A66:D66"/>
    <mergeCell ref="A67:D67"/>
    <mergeCell ref="A49:D49"/>
    <mergeCell ref="A50:D50"/>
    <mergeCell ref="A68:D68"/>
    <mergeCell ref="A70:D70"/>
    <mergeCell ref="A64:D64"/>
    <mergeCell ref="A44:G44"/>
    <mergeCell ref="A46:G46"/>
    <mergeCell ref="A48:G48"/>
    <mergeCell ref="A2:G2"/>
    <mergeCell ref="A4:G4"/>
    <mergeCell ref="A42:G42"/>
    <mergeCell ref="A39:G39"/>
    <mergeCell ref="A20:D20"/>
    <mergeCell ref="A16:D16"/>
    <mergeCell ref="A17:D17"/>
    <mergeCell ref="A18:D18"/>
    <mergeCell ref="A19:D19"/>
    <mergeCell ref="A13:D13"/>
    <mergeCell ref="A14:G14"/>
    <mergeCell ref="A15:D15"/>
    <mergeCell ref="A7:D7"/>
    <mergeCell ref="A8:D8"/>
    <mergeCell ref="A9:D9"/>
    <mergeCell ref="A10:D10"/>
    <mergeCell ref="A11:D11"/>
    <mergeCell ref="A12:D12"/>
    <mergeCell ref="A21:D21"/>
    <mergeCell ref="A22:D22"/>
    <mergeCell ref="A23:D23"/>
    <mergeCell ref="A31:D31"/>
    <mergeCell ref="A24:D24"/>
    <mergeCell ref="A37:D37"/>
    <mergeCell ref="A72:G72"/>
    <mergeCell ref="A55:D55"/>
    <mergeCell ref="A52:D52"/>
    <mergeCell ref="A53:D53"/>
    <mergeCell ref="A54:D54"/>
    <mergeCell ref="A45:G45"/>
    <mergeCell ref="A47:G47"/>
    <mergeCell ref="A60:D60"/>
    <mergeCell ref="A61:D61"/>
    <mergeCell ref="A62:D62"/>
    <mergeCell ref="A56:D56"/>
    <mergeCell ref="A57:D57"/>
    <mergeCell ref="A58:D58"/>
    <mergeCell ref="A59:D59"/>
    <mergeCell ref="A78:G78"/>
    <mergeCell ref="A101:G101"/>
    <mergeCell ref="A79:G79"/>
    <mergeCell ref="A83:D83"/>
    <mergeCell ref="A84:D84"/>
    <mergeCell ref="A81:E81"/>
    <mergeCell ref="A99:E99"/>
    <mergeCell ref="A100:E100"/>
    <mergeCell ref="A96:E96"/>
    <mergeCell ref="A97:E97"/>
    <mergeCell ref="A98:E98"/>
    <mergeCell ref="A85:D85"/>
    <mergeCell ref="A86:D86"/>
    <mergeCell ref="A87:D87"/>
    <mergeCell ref="A88:D88"/>
    <mergeCell ref="A80:G80"/>
    <mergeCell ref="A111:D111"/>
    <mergeCell ref="A112:D112"/>
    <mergeCell ref="A113:D113"/>
    <mergeCell ref="A114:D114"/>
    <mergeCell ref="A115:D115"/>
    <mergeCell ref="A116:D116"/>
    <mergeCell ref="A117:D117"/>
    <mergeCell ref="A118:D118"/>
    <mergeCell ref="A150:C150"/>
    <mergeCell ref="A145:G145"/>
    <mergeCell ref="A132:G132"/>
    <mergeCell ref="A135:G135"/>
    <mergeCell ref="A137:G137"/>
    <mergeCell ref="A138:C138"/>
    <mergeCell ref="A133:G133"/>
    <mergeCell ref="A134:G134"/>
    <mergeCell ref="A136:G136"/>
    <mergeCell ref="A142:C142"/>
    <mergeCell ref="A140:C140"/>
    <mergeCell ref="A141:C141"/>
    <mergeCell ref="A143:C143"/>
  </mergeCells>
  <phoneticPr fontId="0" type="noConversion"/>
  <printOptions horizontalCentered="1"/>
  <pageMargins left="0.39370078740157483" right="0.39370078740157483" top="0.39370078740157483" bottom="0.39370078740157483" header="0" footer="0"/>
  <pageSetup paperSize="69" scale="89" fitToHeight="4" orientation="portrait" horizontalDpi="1200" verticalDpi="1200" r:id="rId1"/>
  <headerFooter alignWithMargins="0"/>
  <rowBreaks count="4" manualBreakCount="4">
    <brk id="42" max="16383" man="1"/>
    <brk id="74" max="16383" man="1"/>
    <brk id="102"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Anual</vt:lpstr>
      <vt:lpstr>Catalogo ctas</vt:lpstr>
      <vt:lpstr>ER</vt:lpstr>
      <vt:lpstr>RF y dividendos</vt:lpstr>
      <vt:lpstr>CCF ISR</vt:lpstr>
      <vt:lpstr>Otros puntos CCF</vt:lpstr>
      <vt:lpstr>Notas Cierre</vt:lpstr>
      <vt:lpstr>PP ISR</vt:lpstr>
      <vt:lpstr>Edo resultados</vt:lpstr>
      <vt:lpstr>Acum inventario</vt:lpstr>
      <vt:lpstr>Tabla Rot Inv</vt:lpstr>
      <vt:lpstr>'CCF ISR'!_Toc104806991</vt:lpstr>
      <vt:lpstr>'CCF ISR'!_Toc104806992</vt:lpstr>
      <vt:lpstr>'CCF ISR'!_Toc104806993</vt:lpstr>
      <vt:lpstr>'CCF ISR'!_Toc104806994</vt:lpstr>
      <vt:lpstr>'CCF ISR'!_Toc104806995</vt:lpstr>
      <vt:lpstr>'CCF ISR'!_Toc110764356</vt:lpstr>
    </vt:vector>
  </TitlesOfParts>
  <Company>imefi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toshiba1</dc:creator>
  <cp:lastModifiedBy>Javier Martinez</cp:lastModifiedBy>
  <cp:lastPrinted>2008-03-04T19:11:02Z</cp:lastPrinted>
  <dcterms:created xsi:type="dcterms:W3CDTF">2004-11-22T09:08:52Z</dcterms:created>
  <dcterms:modified xsi:type="dcterms:W3CDTF">2018-03-07T21:55:01Z</dcterms:modified>
</cp:coreProperties>
</file>